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omments3.xml" ContentType="application/vnd.openxmlformats-officedocument.spreadsheetml.comment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xml"/>
  <Override PartName="/xl/comments4.xml" ContentType="application/vnd.openxmlformats-officedocument.spreadsheetml.comments+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8.xml" ContentType="application/vnd.openxmlformats-officedocument.drawing+xml"/>
  <Override PartName="/xl/charts/chart17.xml" ContentType="application/vnd.openxmlformats-officedocument.drawingml.chart+xml"/>
  <Override PartName="/xl/drawings/drawing9.xml" ContentType="application/vnd.openxmlformats-officedocument.drawingml.chartshapes+xml"/>
  <Override PartName="/xl/charts/chart18.xml" ContentType="application/vnd.openxmlformats-officedocument.drawingml.chart+xml"/>
  <Override PartName="/xl/charts/chart19.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20.xml" ContentType="application/vnd.openxmlformats-officedocument.drawingml.chart+xml"/>
  <Override PartName="/xl/drawings/drawing12.xml" ContentType="application/vnd.openxmlformats-officedocument.drawing+xml"/>
  <Override PartName="/xl/charts/chart21.xml" ContentType="application/vnd.openxmlformats-officedocument.drawingml.chart+xml"/>
  <Override PartName="/xl/drawings/drawing13.xml" ContentType="application/vnd.openxmlformats-officedocument.drawingml.chartshapes+xml"/>
  <Override PartName="/xl/charts/chart22.xml" ContentType="application/vnd.openxmlformats-officedocument.drawingml.chart+xml"/>
  <Override PartName="/xl/drawings/drawing14.xml" ContentType="application/vnd.openxmlformats-officedocument.drawingml.chartshapes+xml"/>
  <Override PartName="/xl/charts/chart23.xml" ContentType="application/vnd.openxmlformats-officedocument.drawingml.chart+xml"/>
  <Override PartName="/xl/drawings/drawing15.xml" ContentType="application/vnd.openxmlformats-officedocument.drawingml.chartshapes+xml"/>
  <Override PartName="/xl/charts/chart24.xml" ContentType="application/vnd.openxmlformats-officedocument.drawingml.chart+xml"/>
  <Override PartName="/xl/charts/style1.xml" ContentType="application/vnd.ms-office.chartstyle+xml"/>
  <Override PartName="/xl/charts/colors1.xml" ContentType="application/vnd.ms-office.chartcolorstyle+xml"/>
  <Override PartName="/xl/charts/chart2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6.xml" ContentType="application/vnd.openxmlformats-officedocument.drawing+xml"/>
  <Override PartName="/xl/charts/chart26.xml" ContentType="application/vnd.openxmlformats-officedocument.drawingml.chart+xml"/>
  <Override PartName="/xl/drawings/drawing17.xml" ContentType="application/vnd.openxmlformats-officedocument.drawingml.chartshapes+xml"/>
  <Override PartName="/xl/charts/chart27.xml" ContentType="application/vnd.openxmlformats-officedocument.drawingml.chart+xml"/>
  <Override PartName="/xl/drawings/drawing18.xml" ContentType="application/vnd.openxmlformats-officedocument.drawingml.chartshapes+xml"/>
  <Override PartName="/xl/charts/chart28.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2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drawings/drawing25.xml" ContentType="application/vnd.openxmlformats-officedocument.drawing+xml"/>
  <Override PartName="/xl/comments5.xml" ContentType="application/vnd.openxmlformats-officedocument.spreadsheetml.comments+xml"/>
  <Override PartName="/xl/charts/chart30.xml" ContentType="application/vnd.openxmlformats-officedocument.drawingml.chart+xml"/>
  <Override PartName="/xl/drawings/drawing26.xml" ContentType="application/vnd.openxmlformats-officedocument.drawingml.chartshapes+xml"/>
  <Override PartName="/xl/charts/chart31.xml" ContentType="application/vnd.openxmlformats-officedocument.drawingml.chart+xml"/>
  <Override PartName="/xl/calcChain.xml" ContentType="application/vnd.openxmlformats-officedocument.spreadsheetml.calcChain+xml"/>
  <Override PartName="/xl/fr/worksheets/sheet1.xml" ContentType="application/vnd.openxmlformats-officedocument.spreadsheetml.worksheet+xml"/>
  <Override PartName="/xl/fr/worksheets/sheet2.xml" ContentType="application/vnd.openxmlformats-officedocument.spreadsheetml.worksheet+xml"/>
  <Override PartName="/xl/fr/worksheets/sheet3.xml" ContentType="application/vnd.openxmlformats-officedocument.spreadsheetml.worksheet+xml"/>
  <Override PartName="/xl/fr/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showInkAnnotation="0" codeName="ThisWorkbook" defaultThemeVersion="124226"/>
  <mc:AlternateContent xmlns:mc="http://schemas.openxmlformats.org/markup-compatibility/2006">
    <mc:Choice Requires="x15">
      <x15ac:absPath xmlns:x15ac="http://schemas.microsoft.com/office/spreadsheetml/2010/11/ac" url="https://d.docs.live.net/830a71c3eec52a59/Documents/@Website/"/>
    </mc:Choice>
  </mc:AlternateContent>
  <xr:revisionPtr revIDLastSave="0" documentId="8_{1494A122-7AA2-40E5-9950-3847C45CC196}" xr6:coauthVersionLast="47" xr6:coauthVersionMax="47" xr10:uidLastSave="{00000000-0000-0000-0000-000000000000}"/>
  <bookViews>
    <workbookView xWindow="-98" yWindow="-98" windowWidth="21795" windowHeight="12975" xr2:uid="{00000000-000D-0000-FFFF-FFFF00000000}" activeTab="0" firstSheet="0"/>
  </bookViews>
  <sheets>
    <sheet name="Accueil" sheetId="14" r:id="rIdFr01"/>
    <sheet name="Modèle principal" sheetId="1" r:id="rId1"/>
    <sheet name="Paramètres libres" sheetId="13" r:id="rId2"/>
    <sheet name="Densité ajustée" sheetId="12" r:id="rId3"/>
    <sheet name="Profils de colonie" sheetId="2" r:id="rId4"/>
    <sheet name="Réduction annuelle nécessaire" sheetId="5" r:id="rId5"/>
    <sheet name="Immigration de varroas" sheetId="3" r:id="rId6"/>
    <sheet name="Croissance comparée" sheetId="7" r:id="rId7"/>
    <sheet name="Taux de croissance r" sheetId="11" r:id="rId8"/>
    <sheet name="À propos du modèle" sheetId="4" r:id="rId9"/>
    <sheet name="Notes de version" sheetId="6" r:id="rId10"/>
    <sheet name="Population initiale" sheetId="8" r:id="rId11"/>
    <sheet name="Données à étudier" sheetId="9" r:id="rId12"/>
    <sheet name="Rupture de couvain" sheetId="10" r:id="rId13"/>
    <sheet name="Textes et notes" sheetId="15" r:id="rIdFr02"/>
    <sheet name="Illustrations en français" sheetId="16" r:id="rIdFr03"/>
  </sheets>
  <definedNames>
    <definedName name="abc" localSheetId="13">#REF!</definedName>
    <definedName name="abc" localSheetId="1">#REF!</definedName>
    <definedName name="abc" localSheetId="3">#REF!</definedName>
    <definedName name="abc" localSheetId="8">#REF!</definedName>
    <definedName name="abc" localSheetId="2">#REF!</definedName>
    <definedName name="abc">#REF!</definedName>
    <definedName name="abs" localSheetId="13">#REF!</definedName>
    <definedName name="abs" localSheetId="1">#REF!</definedName>
    <definedName name="abs" localSheetId="3">#REF!</definedName>
    <definedName name="abs" localSheetId="8">#REF!</definedName>
    <definedName name="abs" localSheetId="2">#REF!</definedName>
    <definedName name="abs">#REF!</definedName>
    <definedName name="mistake" localSheetId="3">#REF!</definedName>
    <definedName name="mistake" localSheetId="8">#REF!</definedName>
    <definedName name="mistake">#REF!</definedName>
    <definedName name="x" localSheetId="13">#REF!</definedName>
    <definedName name="x" localSheetId="1">#REF!</definedName>
    <definedName name="x" localSheetId="3">#REF!</definedName>
    <definedName name="x" localSheetId="8">#REF!</definedName>
    <definedName name="x" localSheetId="2">#REF!</definedName>
    <definedName name="x">#REF!</definedName>
    <definedName name="xxx" localSheetId="13">#REF!</definedName>
    <definedName name="xxx" localSheetId="1">#REF!</definedName>
    <definedName name="xxx" localSheetId="3">#REF!</definedName>
    <definedName name="xxx" localSheetId="8">#REF!</definedName>
    <definedName name="xxx" localSheetId="2">#REF!</definedName>
    <definedName name="xxx">#REF!</definedName>
    <definedName name="xxx1" localSheetId="13">#REF!</definedName>
    <definedName name="xxx1" localSheetId="1">#REF!</definedName>
    <definedName name="xxx1" localSheetId="3">#REF!</definedName>
    <definedName name="xxx1" localSheetId="8">#REF!</definedName>
    <definedName name="xxx1" localSheetId="2">#REF!</definedName>
    <definedName name="xxx1">#REF!</definedName>
    <definedName name="z" localSheetId="13">#REF!</definedName>
    <definedName name="z" localSheetId="1">#REF!</definedName>
    <definedName name="z" localSheetId="3">#REF!</definedName>
    <definedName name="z" localSheetId="8">#REF!</definedName>
    <definedName name="z" localSheetId="2">#REF!</definedName>
    <definedName name="z">#REF!</definedName>
    <definedName name="_xlnm.Print_Area" localSheetId="0">'Accueil'!$A$1:$N$54</definedName>
    <definedName name="_xlnm.Print_Area" localSheetId="14">'Textes et notes'!$A$1:$N$616</definedName>
    <definedName name="_xlnm.Print_Area" localSheetId="15">'Illustrations en français'!$A$1:$O$343</definedName>
  </definedNames>
  <calcPr calcId="191028" fullCalcOnLoad="1" forceFullCalc="1"/>
  <customWorkbookViews>
    <customWorkbookView name="rod d - Personal View" guid="{40D14490-07BB-46F3-8435-9C462BE853EE}" mergeInterval="0" personalView="1" maximized="1" xWindow="1" yWindow="1" windowWidth="1916" windowHeight="802" activeSheetId="1"/>
    <customWorkbookView name="Randy Oliver - Personal View" guid="{C5ECCA7E-81F6-46F5-BEA0-A5F2DAD22AC9}" mergeInterval="0" personalView="1" maximized="1" windowWidth="1676" windowHeight="72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AH70" i="1" l="1"/>
  <c r="AH69" i="1" s="1"/>
  <c r="AH68" i="1" s="1"/>
  <c r="AH67" i="1" s="1"/>
  <c r="AH66" i="1" s="1"/>
  <c r="AH65" i="1" s="1"/>
  <c r="AI69" i="1" l="1"/>
  <c r="AH64" i="1"/>
  <c r="AI65" i="1"/>
  <c r="AI68" i="1"/>
  <c r="AI67" i="1"/>
  <c r="AI66" i="1"/>
  <c r="AI70" i="1"/>
  <c r="AH63" i="1" l="1"/>
  <c r="AI64" i="1"/>
  <c r="AH62" i="1" l="1"/>
  <c r="AI62" i="1" s="1"/>
  <c r="AI63" i="1"/>
  <c r="D70" i="7" l="1"/>
  <c r="D71" i="7" s="1"/>
  <c r="D72" i="7" s="1"/>
  <c r="D73" i="7" s="1"/>
  <c r="D74" i="7" s="1"/>
  <c r="D75" i="7" s="1"/>
  <c r="D76" i="7" s="1"/>
  <c r="D77" i="7" s="1"/>
  <c r="D78" i="7" s="1"/>
  <c r="D79" i="7" s="1"/>
  <c r="D80" i="7" s="1"/>
  <c r="D81" i="7" s="1"/>
  <c r="D82" i="7" s="1"/>
  <c r="D83" i="7" s="1"/>
  <c r="D84" i="7" s="1"/>
  <c r="D85" i="7" s="1"/>
  <c r="D86" i="7" s="1"/>
  <c r="D87" i="7" s="1"/>
  <c r="D88" i="7" s="1"/>
  <c r="D89" i="7" s="1"/>
  <c r="D90" i="7" s="1"/>
  <c r="D91" i="7" s="1"/>
  <c r="D92" i="7" s="1"/>
  <c r="D93" i="7" s="1"/>
  <c r="D94" i="7" s="1"/>
  <c r="D95" i="7" s="1"/>
  <c r="D96" i="7" s="1"/>
  <c r="D97" i="7" s="1"/>
  <c r="D98" i="7" s="1"/>
  <c r="D99" i="7" s="1"/>
  <c r="D100" i="7" s="1"/>
  <c r="D101" i="7" s="1"/>
  <c r="D102" i="7" s="1"/>
  <c r="D103" i="7" s="1"/>
  <c r="D104" i="7" s="1"/>
  <c r="D105" i="7" s="1"/>
  <c r="D106" i="7" s="1"/>
  <c r="D107" i="7" s="1"/>
  <c r="D108" i="7" s="1"/>
  <c r="D109" i="7" s="1"/>
  <c r="D110" i="7" s="1"/>
  <c r="D111" i="7" s="1"/>
  <c r="D112" i="7" s="1"/>
  <c r="D113" i="7" s="1"/>
  <c r="D114" i="7" s="1"/>
  <c r="D115" i="7" s="1"/>
  <c r="D116" i="7" s="1"/>
  <c r="D117" i="7" s="1"/>
  <c r="D118" i="7" s="1"/>
  <c r="D119" i="7" s="1"/>
  <c r="D120" i="7" s="1"/>
  <c r="D121" i="7" s="1"/>
  <c r="D122" i="7" s="1"/>
  <c r="D123" i="7" s="1"/>
  <c r="D124" i="7" s="1"/>
  <c r="D45" i="7"/>
  <c r="D46" i="7" s="1"/>
  <c r="D47" i="7" s="1"/>
  <c r="D48" i="7" s="1"/>
  <c r="D49" i="7" s="1"/>
  <c r="D50" i="7" s="1"/>
  <c r="D51" i="7" s="1"/>
  <c r="D52" i="7" s="1"/>
  <c r="D53" i="7" s="1"/>
  <c r="D54" i="7" s="1"/>
  <c r="D55" i="7" s="1"/>
  <c r="D56" i="7" s="1"/>
  <c r="D57" i="7" s="1"/>
  <c r="D58" i="7" s="1"/>
  <c r="D59" i="7" s="1"/>
  <c r="D60" i="7" s="1"/>
  <c r="D61" i="7" s="1"/>
  <c r="D62" i="7" s="1"/>
  <c r="D63" i="7" s="1"/>
  <c r="D64" i="7" s="1"/>
  <c r="D65" i="7" s="1"/>
  <c r="D66" i="7" s="1"/>
  <c r="D67" i="7" s="1"/>
  <c r="D68" i="7" s="1"/>
  <c r="D69" i="7" s="1"/>
  <c r="D37" i="7"/>
  <c r="D38" i="7" s="1"/>
  <c r="D39" i="7" s="1"/>
  <c r="D40" i="7" s="1"/>
  <c r="D41" i="7" s="1"/>
  <c r="D42" i="7" s="1"/>
  <c r="D43" i="7" s="1"/>
  <c r="D44" i="7" s="1"/>
  <c r="D5" i="8"/>
  <c r="AB35" i="7"/>
  <c r="AB36" i="7"/>
  <c r="AB37" i="7"/>
  <c r="AB38" i="7"/>
  <c r="AB39" i="7"/>
  <c r="AB40" i="7"/>
  <c r="AB41" i="7"/>
  <c r="AB42" i="7"/>
  <c r="AB43" i="7"/>
  <c r="AB44" i="7"/>
  <c r="AB45" i="7"/>
  <c r="AB46" i="7"/>
  <c r="AB47" i="7"/>
  <c r="AB48" i="7"/>
  <c r="AB49" i="7"/>
  <c r="AB34" i="7"/>
  <c r="G36" i="3"/>
  <c r="F36" i="3"/>
  <c r="H36" i="3"/>
  <c r="I36" i="3"/>
  <c r="J36" i="3"/>
  <c r="P28" i="3"/>
  <c r="P29" i="3"/>
  <c r="P30" i="3"/>
  <c r="P31" i="3"/>
  <c r="P32" i="3"/>
  <c r="P33" i="3"/>
  <c r="P34" i="3"/>
  <c r="P35" i="3"/>
  <c r="P36" i="3"/>
  <c r="P37" i="3"/>
  <c r="P38" i="3"/>
  <c r="P39" i="3"/>
  <c r="P40" i="3"/>
  <c r="P27" i="3"/>
  <c r="D22" i="13"/>
  <c r="CC107" i="13"/>
  <c r="CA107" i="13"/>
  <c r="CD107" i="13" s="1"/>
  <c r="CD106" i="13"/>
  <c r="CC106" i="13"/>
  <c r="CA106" i="13"/>
  <c r="CC105" i="13"/>
  <c r="CA105" i="13"/>
  <c r="CD105" i="13" s="1"/>
  <c r="CC104" i="13"/>
  <c r="CA104" i="13"/>
  <c r="CD104" i="13" s="1"/>
  <c r="CC103" i="13"/>
  <c r="CA103" i="13"/>
  <c r="CD103" i="13" s="1"/>
  <c r="CC102" i="13"/>
  <c r="CA102" i="13"/>
  <c r="CD102" i="13" s="1"/>
  <c r="CD101" i="13"/>
  <c r="CC101" i="13"/>
  <c r="CA101" i="13"/>
  <c r="CC100" i="13"/>
  <c r="CA100" i="13"/>
  <c r="CD100" i="13" s="1"/>
  <c r="CC99" i="13"/>
  <c r="CA99" i="13"/>
  <c r="CD99" i="13" s="1"/>
  <c r="CD98" i="13"/>
  <c r="CC98" i="13"/>
  <c r="CA98" i="13"/>
  <c r="CC97" i="13"/>
  <c r="CA97" i="13"/>
  <c r="CD97" i="13" s="1"/>
  <c r="CC96" i="13"/>
  <c r="CA96" i="13"/>
  <c r="CD96" i="13" s="1"/>
  <c r="CC95" i="13"/>
  <c r="CA95" i="13"/>
  <c r="CD95" i="13" s="1"/>
  <c r="BV95" i="13"/>
  <c r="CD94" i="13"/>
  <c r="CC94" i="13"/>
  <c r="CA94" i="13"/>
  <c r="BV94" i="13"/>
  <c r="CC93" i="13"/>
  <c r="CA93" i="13"/>
  <c r="CD93" i="13" s="1"/>
  <c r="BV93" i="13"/>
  <c r="CD92" i="13"/>
  <c r="CC92" i="13"/>
  <c r="CA92" i="13"/>
  <c r="BV92" i="13"/>
  <c r="CC91" i="13"/>
  <c r="CA91" i="13"/>
  <c r="CD91" i="13" s="1"/>
  <c r="CC90" i="13"/>
  <c r="CA90" i="13"/>
  <c r="CD90" i="13" s="1"/>
  <c r="CD89" i="13"/>
  <c r="CC89" i="13"/>
  <c r="CB88" i="13"/>
  <c r="BT79" i="13"/>
  <c r="BQ80" i="13" s="1"/>
  <c r="BQ77" i="13"/>
  <c r="BO78" i="13" s="1"/>
  <c r="BO80" i="13" s="1"/>
  <c r="BO73" i="13"/>
  <c r="BO74" i="13" s="1"/>
  <c r="BQ72" i="13"/>
  <c r="BV69" i="13"/>
  <c r="BV68" i="13"/>
  <c r="BV67" i="13"/>
  <c r="BV66" i="13"/>
  <c r="BV65" i="13"/>
  <c r="BV64" i="13"/>
  <c r="BV63" i="13"/>
  <c r="AH63" i="13"/>
  <c r="AG63" i="13"/>
  <c r="AG64" i="13" s="1"/>
  <c r="BV62" i="13"/>
  <c r="AH62" i="13"/>
  <c r="BV61" i="13"/>
  <c r="BV60" i="13"/>
  <c r="BV59" i="13"/>
  <c r="BV58" i="13"/>
  <c r="BV57" i="13"/>
  <c r="BV56" i="13"/>
  <c r="BV55" i="13"/>
  <c r="EI54" i="13"/>
  <c r="BV54" i="13"/>
  <c r="BP43" i="13"/>
  <c r="B43" i="13"/>
  <c r="BP42" i="13"/>
  <c r="B42" i="13"/>
  <c r="AZ41" i="13"/>
  <c r="EI40" i="13"/>
  <c r="BP40" i="13"/>
  <c r="BO40" i="13"/>
  <c r="AI40" i="13"/>
  <c r="AH40" i="13"/>
  <c r="AG40" i="13"/>
  <c r="B40" i="13"/>
  <c r="B38" i="13"/>
  <c r="B37" i="13"/>
  <c r="BP36" i="13"/>
  <c r="BO36" i="13"/>
  <c r="B36" i="13"/>
  <c r="BP35" i="13"/>
  <c r="BV39" i="13" s="1"/>
  <c r="BO35" i="13"/>
  <c r="B35" i="13"/>
  <c r="BV34" i="13"/>
  <c r="BP34" i="13"/>
  <c r="BV38" i="13" s="1"/>
  <c r="BO34" i="13"/>
  <c r="AZ34" i="13"/>
  <c r="B34" i="13"/>
  <c r="FG33" i="13"/>
  <c r="DP28" i="13" s="1"/>
  <c r="FF33" i="13"/>
  <c r="FE33" i="13"/>
  <c r="DP26" i="13" s="1"/>
  <c r="FD33" i="13"/>
  <c r="DP25" i="13" s="1"/>
  <c r="FC33" i="13"/>
  <c r="DP24" i="13" s="1"/>
  <c r="FB33" i="13"/>
  <c r="FA33" i="13"/>
  <c r="EZ33" i="13"/>
  <c r="DP21" i="13" s="1"/>
  <c r="EY33" i="13"/>
  <c r="DP20" i="13" s="1"/>
  <c r="EX33" i="13"/>
  <c r="EW33" i="13"/>
  <c r="DP18" i="13" s="1"/>
  <c r="EV33" i="13"/>
  <c r="DP17" i="13" s="1"/>
  <c r="EU33" i="13"/>
  <c r="DP16" i="13" s="1"/>
  <c r="ET33" i="13"/>
  <c r="DP15" i="13" s="1"/>
  <c r="ES33" i="13"/>
  <c r="ER33" i="13"/>
  <c r="EQ33" i="13"/>
  <c r="EP33" i="13"/>
  <c r="EO33" i="13"/>
  <c r="EN33" i="13"/>
  <c r="EM33" i="13"/>
  <c r="EL33" i="13"/>
  <c r="EK33" i="13"/>
  <c r="EJ33" i="13"/>
  <c r="BV33" i="13"/>
  <c r="BO33" i="13"/>
  <c r="BP33" i="13" s="1"/>
  <c r="BP64" i="13" s="1"/>
  <c r="AZ33" i="13"/>
  <c r="BP32" i="13"/>
  <c r="CN11" i="13" s="1"/>
  <c r="CO11" i="13" s="1"/>
  <c r="BO32" i="13"/>
  <c r="AZ32" i="13"/>
  <c r="CD28" i="13" s="1"/>
  <c r="CE28" i="13" s="1"/>
  <c r="B32" i="13"/>
  <c r="BP31" i="13"/>
  <c r="BP55" i="13" s="1"/>
  <c r="BO31" i="13"/>
  <c r="CL30" i="13"/>
  <c r="BY30" i="13"/>
  <c r="BO30" i="13"/>
  <c r="DL29" i="13"/>
  <c r="BO29" i="13"/>
  <c r="AZ29" i="13"/>
  <c r="DT29" i="13" s="1"/>
  <c r="AZ28" i="13"/>
  <c r="DP27" i="13"/>
  <c r="AZ27" i="13"/>
  <c r="BO26" i="13"/>
  <c r="AZ26" i="13"/>
  <c r="DT25" i="13"/>
  <c r="BO25" i="13"/>
  <c r="AZ25" i="13"/>
  <c r="AZ24" i="13"/>
  <c r="DT23" i="13"/>
  <c r="DP23" i="13"/>
  <c r="BO23" i="13"/>
  <c r="AZ23" i="13"/>
  <c r="EI52" i="13" s="1"/>
  <c r="DP22" i="13"/>
  <c r="AZ22" i="13"/>
  <c r="BO21" i="13"/>
  <c r="AZ21" i="13"/>
  <c r="EI50" i="13" s="1"/>
  <c r="BO20" i="13"/>
  <c r="AZ20" i="13"/>
  <c r="EI49" i="13" s="1"/>
  <c r="DP19" i="13"/>
  <c r="AZ19" i="13"/>
  <c r="AZ18" i="13"/>
  <c r="CN17" i="13"/>
  <c r="CO17" i="13" s="1"/>
  <c r="BO17" i="13"/>
  <c r="AZ17" i="13"/>
  <c r="EI46" i="13" s="1"/>
  <c r="CN16" i="13"/>
  <c r="CO16" i="13" s="1"/>
  <c r="AZ16" i="13"/>
  <c r="DT15" i="13"/>
  <c r="AZ15" i="13"/>
  <c r="EI44" i="13" s="1"/>
  <c r="DP14" i="13"/>
  <c r="BO14" i="13"/>
  <c r="AZ14" i="13"/>
  <c r="DT13" i="13"/>
  <c r="DP13" i="13"/>
  <c r="BO13" i="13"/>
  <c r="AZ13" i="13"/>
  <c r="EI42" i="13" s="1"/>
  <c r="DP12" i="13"/>
  <c r="CN12" i="13"/>
  <c r="CO12" i="13" s="1"/>
  <c r="AZ12" i="13"/>
  <c r="DT11" i="13"/>
  <c r="DP11" i="13"/>
  <c r="AZ11" i="13"/>
  <c r="BO11" i="13" s="1"/>
  <c r="DT10" i="13"/>
  <c r="DP10" i="13"/>
  <c r="BO10" i="13"/>
  <c r="AZ10" i="13"/>
  <c r="EI39" i="13" s="1"/>
  <c r="DP9" i="13"/>
  <c r="AZ9" i="13"/>
  <c r="EI38" i="13" s="1"/>
  <c r="DT8" i="13"/>
  <c r="DP8" i="13"/>
  <c r="CN8" i="13"/>
  <c r="CO8" i="13" s="1"/>
  <c r="BO8" i="13"/>
  <c r="AZ8" i="13"/>
  <c r="EI37" i="13" s="1"/>
  <c r="DP7" i="13"/>
  <c r="AZ7" i="13"/>
  <c r="EI36" i="13" s="1"/>
  <c r="DP6" i="13"/>
  <c r="CN6" i="13"/>
  <c r="CO6" i="13" s="1"/>
  <c r="AZ6" i="13"/>
  <c r="DT5" i="13"/>
  <c r="DP5" i="13"/>
  <c r="CN5" i="13"/>
  <c r="CO5" i="13" s="1"/>
  <c r="BO5" i="13"/>
  <c r="AZ5" i="13"/>
  <c r="EI34" i="13" s="1"/>
  <c r="BD4" i="13"/>
  <c r="R51" i="5"/>
  <c r="R52" i="5" s="1"/>
  <c r="R53" i="5" s="1"/>
  <c r="R54" i="5" s="1"/>
  <c r="R55" i="5" s="1"/>
  <c r="R56" i="5" s="1"/>
  <c r="R57" i="5" s="1"/>
  <c r="R58" i="5" s="1"/>
  <c r="R59" i="5" s="1"/>
  <c r="R60" i="5" s="1"/>
  <c r="R61" i="5" s="1"/>
  <c r="S50" i="5"/>
  <c r="S51" i="5" s="1"/>
  <c r="S52" i="5" s="1"/>
  <c r="S53" i="5" s="1"/>
  <c r="S54" i="5" s="1"/>
  <c r="S55" i="5" s="1"/>
  <c r="S56" i="5" s="1"/>
  <c r="S57" i="5" s="1"/>
  <c r="S58" i="5" s="1"/>
  <c r="S59" i="5" s="1"/>
  <c r="S60" i="5" s="1"/>
  <c r="S61" i="5" s="1"/>
  <c r="O50" i="5"/>
  <c r="O51" i="5" s="1"/>
  <c r="O52" i="5" s="1"/>
  <c r="O53" i="5" s="1"/>
  <c r="O54" i="5" s="1"/>
  <c r="O55" i="5" s="1"/>
  <c r="O56" i="5" s="1"/>
  <c r="O57" i="5" s="1"/>
  <c r="O58" i="5" s="1"/>
  <c r="O59" i="5" s="1"/>
  <c r="O60" i="5" s="1"/>
  <c r="O61" i="5" s="1"/>
  <c r="R50" i="5"/>
  <c r="Q48" i="5"/>
  <c r="Q50" i="5" s="1"/>
  <c r="Q51" i="5" s="1"/>
  <c r="Q52" i="5" s="1"/>
  <c r="Q53" i="5" s="1"/>
  <c r="Q54" i="5" s="1"/>
  <c r="Q55" i="5" s="1"/>
  <c r="Q56" i="5" s="1"/>
  <c r="Q57" i="5" s="1"/>
  <c r="Q58" i="5" s="1"/>
  <c r="Q59" i="5" s="1"/>
  <c r="Q60" i="5" s="1"/>
  <c r="Q61" i="5" s="1"/>
  <c r="R48" i="5"/>
  <c r="S48" i="5"/>
  <c r="P48" i="5"/>
  <c r="P50" i="5" s="1"/>
  <c r="P51" i="5" s="1"/>
  <c r="P52" i="5" s="1"/>
  <c r="P53" i="5" s="1"/>
  <c r="P54" i="5" s="1"/>
  <c r="P55" i="5" s="1"/>
  <c r="P56" i="5" s="1"/>
  <c r="P57" i="5" s="1"/>
  <c r="P58" i="5" s="1"/>
  <c r="P59" i="5" s="1"/>
  <c r="P60" i="5" s="1"/>
  <c r="P61" i="5" s="1"/>
  <c r="CN9" i="13" l="1"/>
  <c r="CO9" i="13" s="1"/>
  <c r="CD5" i="13"/>
  <c r="CE5" i="13" s="1"/>
  <c r="CF5" i="13" s="1"/>
  <c r="CV5" i="13" s="1"/>
  <c r="BP16" i="13"/>
  <c r="BQ16" i="13" s="1"/>
  <c r="BR18" i="13"/>
  <c r="BS18" i="13" s="1"/>
  <c r="BU18" i="13" s="1"/>
  <c r="BP24" i="13"/>
  <c r="BQ24" i="13" s="1"/>
  <c r="BR29" i="13"/>
  <c r="CD20" i="13"/>
  <c r="CE20" i="13" s="1"/>
  <c r="CD7" i="13"/>
  <c r="CE7" i="13" s="1"/>
  <c r="CF7" i="13" s="1"/>
  <c r="BP13" i="13"/>
  <c r="BQ13" i="13" s="1"/>
  <c r="BP17" i="13"/>
  <c r="BQ17" i="13" s="1"/>
  <c r="CD19" i="13"/>
  <c r="CE19" i="13" s="1"/>
  <c r="CF19" i="13" s="1"/>
  <c r="CV19" i="13" s="1"/>
  <c r="BR8" i="13"/>
  <c r="BR11" i="13"/>
  <c r="BS11" i="13" s="1"/>
  <c r="EP31" i="13" s="1"/>
  <c r="CN7" i="13"/>
  <c r="CO7" i="13" s="1"/>
  <c r="BP10" i="13"/>
  <c r="BQ10" i="13" s="1"/>
  <c r="CN13" i="13"/>
  <c r="CO13" i="13" s="1"/>
  <c r="BP9" i="13"/>
  <c r="BQ9" i="13" s="1"/>
  <c r="BR12" i="13"/>
  <c r="BS12" i="13" s="1"/>
  <c r="EB13" i="13" s="1"/>
  <c r="BP15" i="13"/>
  <c r="BQ15" i="13" s="1"/>
  <c r="BP30" i="13"/>
  <c r="CY13" i="13" s="1"/>
  <c r="CN23" i="13"/>
  <c r="CO23" i="13" s="1"/>
  <c r="CD26" i="13"/>
  <c r="CE26" i="13" s="1"/>
  <c r="CI26" i="13" s="1"/>
  <c r="CJ26" i="13" s="1"/>
  <c r="CK26" i="13" s="1"/>
  <c r="DE5" i="13"/>
  <c r="EJ34" i="13" s="1"/>
  <c r="EK34" i="13" s="1"/>
  <c r="CD6" i="13"/>
  <c r="CE6" i="13" s="1"/>
  <c r="CI6" i="13" s="1"/>
  <c r="CJ6" i="13" s="1"/>
  <c r="CK6" i="13" s="1"/>
  <c r="BP8" i="13"/>
  <c r="BQ8" i="13" s="1"/>
  <c r="BP11" i="13"/>
  <c r="BQ11" i="13" s="1"/>
  <c r="BP12" i="13"/>
  <c r="BQ12" i="13" s="1"/>
  <c r="BP18" i="13"/>
  <c r="BQ18" i="13" s="1"/>
  <c r="BR19" i="13"/>
  <c r="BS19" i="13" s="1"/>
  <c r="EB20" i="13" s="1"/>
  <c r="BR20" i="13"/>
  <c r="BS20" i="13" s="1"/>
  <c r="BW20" i="13" s="1"/>
  <c r="CY21" i="13"/>
  <c r="BP29" i="13"/>
  <c r="BQ29" i="13" s="1"/>
  <c r="BR24" i="13"/>
  <c r="BS24" i="13" s="1"/>
  <c r="BP5" i="13"/>
  <c r="BQ5" i="13" s="1"/>
  <c r="CD9" i="13"/>
  <c r="CE9" i="13" s="1"/>
  <c r="CD10" i="13"/>
  <c r="CE10" i="13" s="1"/>
  <c r="CF10" i="13" s="1"/>
  <c r="CD13" i="13"/>
  <c r="CE13" i="13" s="1"/>
  <c r="BR14" i="13"/>
  <c r="BS14" i="13" s="1"/>
  <c r="CD15" i="13"/>
  <c r="CE15" i="13" s="1"/>
  <c r="CF15" i="13" s="1"/>
  <c r="CV15" i="13" s="1"/>
  <c r="CD16" i="13"/>
  <c r="CE16" i="13" s="1"/>
  <c r="CF16" i="13" s="1"/>
  <c r="CV16" i="13" s="1"/>
  <c r="CD17" i="13"/>
  <c r="CE17" i="13" s="1"/>
  <c r="CD18" i="13"/>
  <c r="CE18" i="13" s="1"/>
  <c r="CF18" i="13" s="1"/>
  <c r="BR23" i="13"/>
  <c r="BS23" i="13" s="1"/>
  <c r="BT23" i="13" s="1"/>
  <c r="CD24" i="13"/>
  <c r="CE24" i="13" s="1"/>
  <c r="CF24" i="13" s="1"/>
  <c r="CV24" i="13" s="1"/>
  <c r="BP28" i="13"/>
  <c r="BQ28" i="13" s="1"/>
  <c r="CD8" i="13"/>
  <c r="CE8" i="13" s="1"/>
  <c r="CF8" i="13" s="1"/>
  <c r="CV8" i="13" s="1"/>
  <c r="BR9" i="13"/>
  <c r="BS9" i="13" s="1"/>
  <c r="BR10" i="13"/>
  <c r="BS10" i="13" s="1"/>
  <c r="CC10" i="13" s="1"/>
  <c r="CQ10" i="13" s="1"/>
  <c r="CD11" i="13"/>
  <c r="CE11" i="13" s="1"/>
  <c r="CD12" i="13"/>
  <c r="CE12" i="13" s="1"/>
  <c r="CF12" i="13" s="1"/>
  <c r="CV12" i="13" s="1"/>
  <c r="BR13" i="13"/>
  <c r="BS13" i="13" s="1"/>
  <c r="CC13" i="13" s="1"/>
  <c r="BP14" i="13"/>
  <c r="BQ14" i="13" s="1"/>
  <c r="EC15" i="13" s="1"/>
  <c r="BR15" i="13"/>
  <c r="BS15" i="13" s="1"/>
  <c r="EB16" i="13" s="1"/>
  <c r="BR16" i="13"/>
  <c r="BS16" i="13" s="1"/>
  <c r="CC16" i="13" s="1"/>
  <c r="BR17" i="13"/>
  <c r="BS17" i="13" s="1"/>
  <c r="CC17" i="13" s="1"/>
  <c r="CQ17" i="13" s="1"/>
  <c r="CC18" i="13"/>
  <c r="CQ18" i="13" s="1"/>
  <c r="BP23" i="13"/>
  <c r="BR5" i="13"/>
  <c r="CD14" i="13"/>
  <c r="CE14" i="13" s="1"/>
  <c r="CF14" i="13" s="1"/>
  <c r="BP22" i="13"/>
  <c r="BQ22" i="13" s="1"/>
  <c r="BP26" i="13"/>
  <c r="BQ26" i="13" s="1"/>
  <c r="BR28" i="13"/>
  <c r="BZ28" i="13" s="1"/>
  <c r="BR22" i="13"/>
  <c r="BS22" i="13" s="1"/>
  <c r="FA31" i="13" s="1"/>
  <c r="BP21" i="13"/>
  <c r="BQ21" i="13" s="1"/>
  <c r="BP6" i="13"/>
  <c r="BQ6" i="13" s="1"/>
  <c r="BP7" i="13"/>
  <c r="BQ7" i="13" s="1"/>
  <c r="EC8" i="13" s="1"/>
  <c r="BR21" i="13"/>
  <c r="BS21" i="13" s="1"/>
  <c r="EB22" i="13" s="1"/>
  <c r="BR6" i="13"/>
  <c r="BS6" i="13" s="1"/>
  <c r="BU6" i="13" s="1"/>
  <c r="BR7" i="13"/>
  <c r="BS7" i="13" s="1"/>
  <c r="BW7" i="13" s="1"/>
  <c r="BP19" i="13"/>
  <c r="BQ19" i="13" s="1"/>
  <c r="EC20" i="13" s="1"/>
  <c r="BP20" i="13"/>
  <c r="BQ20" i="13" s="1"/>
  <c r="CD21" i="13"/>
  <c r="CE21" i="13" s="1"/>
  <c r="CF21" i="13" s="1"/>
  <c r="BP25" i="13"/>
  <c r="BQ25" i="13" s="1"/>
  <c r="CN20" i="13"/>
  <c r="CO20" i="13" s="1"/>
  <c r="CN22" i="13"/>
  <c r="CO22" i="13" s="1"/>
  <c r="CD23" i="13"/>
  <c r="CE23" i="13" s="1"/>
  <c r="CI23" i="13" s="1"/>
  <c r="CJ23" i="13" s="1"/>
  <c r="CK23" i="13" s="1"/>
  <c r="BR25" i="13"/>
  <c r="BS25" i="13" s="1"/>
  <c r="CC25" i="13" s="1"/>
  <c r="CN26" i="13"/>
  <c r="CO26" i="13" s="1"/>
  <c r="CN14" i="13"/>
  <c r="CO14" i="13" s="1"/>
  <c r="CN15" i="13"/>
  <c r="CO15" i="13" s="1"/>
  <c r="CY20" i="13"/>
  <c r="CN21" i="13"/>
  <c r="CO21" i="13" s="1"/>
  <c r="EC24" i="13"/>
  <c r="CN25" i="13"/>
  <c r="CO25" i="13" s="1"/>
  <c r="CY26" i="13"/>
  <c r="CN29" i="13"/>
  <c r="CO29" i="13" s="1"/>
  <c r="CN10" i="13"/>
  <c r="CO10" i="13" s="1"/>
  <c r="CY17" i="13"/>
  <c r="CN18" i="13"/>
  <c r="CO18" i="13" s="1"/>
  <c r="CN19" i="13"/>
  <c r="CO19" i="13" s="1"/>
  <c r="CY23" i="13"/>
  <c r="BP27" i="13"/>
  <c r="BQ27" i="13" s="1"/>
  <c r="CY10" i="13"/>
  <c r="CY18" i="13"/>
  <c r="CY27" i="13"/>
  <c r="BR27" i="13"/>
  <c r="BS27" i="13" s="1"/>
  <c r="CC27" i="13" s="1"/>
  <c r="CD22" i="13"/>
  <c r="CE22" i="13" s="1"/>
  <c r="CF22" i="13" s="1"/>
  <c r="CV22" i="13" s="1"/>
  <c r="CD25" i="13"/>
  <c r="CE25" i="13" s="1"/>
  <c r="CI25" i="13" s="1"/>
  <c r="CJ25" i="13" s="1"/>
  <c r="CK25" i="13" s="1"/>
  <c r="BR26" i="13"/>
  <c r="BS26" i="13" s="1"/>
  <c r="CC26" i="13" s="1"/>
  <c r="CD27" i="13"/>
  <c r="CE27" i="13" s="1"/>
  <c r="CI27" i="13" s="1"/>
  <c r="CJ27" i="13" s="1"/>
  <c r="CK27" i="13" s="1"/>
  <c r="EB12" i="13"/>
  <c r="BW11" i="13"/>
  <c r="CI28" i="13"/>
  <c r="CJ28" i="13" s="1"/>
  <c r="CK28" i="13" s="1"/>
  <c r="CF28" i="13"/>
  <c r="CV28" i="13" s="1"/>
  <c r="EB25" i="13"/>
  <c r="BU24" i="13"/>
  <c r="EC7" i="13"/>
  <c r="BU16" i="13"/>
  <c r="EB24" i="13"/>
  <c r="BW23" i="13"/>
  <c r="BW12" i="13"/>
  <c r="EC11" i="13"/>
  <c r="BU11" i="13"/>
  <c r="CF17" i="13"/>
  <c r="BS8" i="13"/>
  <c r="CI5" i="13"/>
  <c r="CJ5" i="13" s="1"/>
  <c r="CK5" i="13" s="1"/>
  <c r="BT11" i="13"/>
  <c r="EC17" i="13"/>
  <c r="EC25" i="13"/>
  <c r="CF6" i="13"/>
  <c r="DT9" i="13"/>
  <c r="EI47" i="13"/>
  <c r="BO18" i="13"/>
  <c r="DT18" i="13"/>
  <c r="BS5" i="13"/>
  <c r="BT5" i="13" s="1"/>
  <c r="BO9" i="13"/>
  <c r="EC10" i="13"/>
  <c r="EC9" i="13"/>
  <c r="EC13" i="13"/>
  <c r="ED13" i="13" s="1"/>
  <c r="BT13" i="13"/>
  <c r="CF9" i="13"/>
  <c r="EI41" i="13"/>
  <c r="DT12" i="13"/>
  <c r="BO12" i="13"/>
  <c r="CF11" i="13"/>
  <c r="EC12" i="13"/>
  <c r="EI35" i="13"/>
  <c r="DT6" i="13"/>
  <c r="BO6" i="13"/>
  <c r="EC16" i="13"/>
  <c r="BO7" i="13"/>
  <c r="DT7" i="13"/>
  <c r="CC11" i="13"/>
  <c r="CQ11" i="13" s="1"/>
  <c r="EI43" i="13"/>
  <c r="DT14" i="13"/>
  <c r="CF20" i="13"/>
  <c r="BW24" i="13"/>
  <c r="FC31" i="13"/>
  <c r="BT24" i="13"/>
  <c r="CC24" i="13"/>
  <c r="ER31" i="13"/>
  <c r="EB14" i="13"/>
  <c r="CV18" i="13"/>
  <c r="CF23" i="13"/>
  <c r="EI53" i="13"/>
  <c r="BO24" i="13"/>
  <c r="DT24" i="13"/>
  <c r="EQ31" i="13"/>
  <c r="CC12" i="13"/>
  <c r="CQ12" i="13" s="1"/>
  <c r="BU12" i="13"/>
  <c r="BU13" i="13"/>
  <c r="EI45" i="13"/>
  <c r="DT16" i="13"/>
  <c r="BO16" i="13"/>
  <c r="EW31" i="13"/>
  <c r="BW18" i="13"/>
  <c r="EB19" i="13"/>
  <c r="EI48" i="13"/>
  <c r="BO19" i="13"/>
  <c r="DT19" i="13"/>
  <c r="EZ31" i="13"/>
  <c r="BU21" i="13"/>
  <c r="EB28" i="13"/>
  <c r="FB31" i="13"/>
  <c r="CC23" i="13"/>
  <c r="CQ23" i="13" s="1"/>
  <c r="BO15" i="13"/>
  <c r="DT17" i="13"/>
  <c r="EI51" i="13"/>
  <c r="BO22" i="13"/>
  <c r="DT22" i="13"/>
  <c r="EB23" i="13"/>
  <c r="DT26" i="13"/>
  <c r="EI55" i="13"/>
  <c r="EI56" i="13"/>
  <c r="BO27" i="13"/>
  <c r="DT27" i="13"/>
  <c r="EB18" i="13"/>
  <c r="CF25" i="13"/>
  <c r="DT20" i="13"/>
  <c r="BO28" i="13"/>
  <c r="EI57" i="13"/>
  <c r="DT28" i="13"/>
  <c r="BS29" i="13"/>
  <c r="CI24" i="13"/>
  <c r="CJ24" i="13" s="1"/>
  <c r="CK24" i="13" s="1"/>
  <c r="BP63" i="13"/>
  <c r="BP66" i="13" s="1"/>
  <c r="BP67" i="13" s="1"/>
  <c r="BP68" i="13" s="1"/>
  <c r="CN28" i="13"/>
  <c r="CO28" i="13" s="1"/>
  <c r="CN27" i="13"/>
  <c r="CO27" i="13" s="1"/>
  <c r="CN24" i="13"/>
  <c r="CO24" i="13" s="1"/>
  <c r="CY29" i="13"/>
  <c r="BP54" i="13"/>
  <c r="BP57" i="13" s="1"/>
  <c r="BP58" i="13" s="1"/>
  <c r="BY33" i="13"/>
  <c r="BY34" i="13" s="1"/>
  <c r="BY31" i="13"/>
  <c r="BY32" i="13" s="1"/>
  <c r="CY25" i="13"/>
  <c r="DT21" i="13"/>
  <c r="AG65" i="13"/>
  <c r="AH64" i="13"/>
  <c r="BU26" i="13"/>
  <c r="CF107" i="12"/>
  <c r="CB107" i="12"/>
  <c r="CG107" i="12" s="1"/>
  <c r="CF106" i="12"/>
  <c r="CB106" i="12"/>
  <c r="CG106" i="12" s="1"/>
  <c r="CF105" i="12"/>
  <c r="CB105" i="12"/>
  <c r="CG105" i="12" s="1"/>
  <c r="CG104" i="12"/>
  <c r="CF104" i="12"/>
  <c r="CB104" i="12"/>
  <c r="CF103" i="12"/>
  <c r="CB103" i="12"/>
  <c r="CG103" i="12" s="1"/>
  <c r="CF102" i="12"/>
  <c r="CB102" i="12"/>
  <c r="CG102" i="12" s="1"/>
  <c r="CF101" i="12"/>
  <c r="CB101" i="12"/>
  <c r="CG101" i="12" s="1"/>
  <c r="CF100" i="12"/>
  <c r="CB100" i="12"/>
  <c r="CG100" i="12" s="1"/>
  <c r="CF99" i="12"/>
  <c r="CB99" i="12"/>
  <c r="CG99" i="12" s="1"/>
  <c r="CF98" i="12"/>
  <c r="CB98" i="12"/>
  <c r="CG98" i="12" s="1"/>
  <c r="CF97" i="12"/>
  <c r="CB97" i="12"/>
  <c r="CG97" i="12" s="1"/>
  <c r="CF96" i="12"/>
  <c r="CB96" i="12"/>
  <c r="CG96" i="12" s="1"/>
  <c r="CF95" i="12"/>
  <c r="CB95" i="12"/>
  <c r="CG95" i="12" s="1"/>
  <c r="BW95" i="12"/>
  <c r="CF94" i="12"/>
  <c r="CB94" i="12"/>
  <c r="CG94" i="12" s="1"/>
  <c r="BW94" i="12"/>
  <c r="CF93" i="12"/>
  <c r="CB93" i="12"/>
  <c r="CG93" i="12" s="1"/>
  <c r="BW93" i="12"/>
  <c r="CF92" i="12"/>
  <c r="CB92" i="12"/>
  <c r="CG92" i="12" s="1"/>
  <c r="BW92" i="12"/>
  <c r="CF91" i="12"/>
  <c r="CB91" i="12"/>
  <c r="CG91" i="12" s="1"/>
  <c r="CF90" i="12"/>
  <c r="CB90" i="12"/>
  <c r="CG90" i="12" s="1"/>
  <c r="CG89" i="12"/>
  <c r="CF89" i="12"/>
  <c r="CE88" i="12"/>
  <c r="BU79" i="12"/>
  <c r="BR80" i="12" s="1"/>
  <c r="BR77" i="12"/>
  <c r="BO78" i="12" s="1"/>
  <c r="BR72" i="12"/>
  <c r="BO73" i="12" s="1"/>
  <c r="BO74" i="12" s="1"/>
  <c r="BW69" i="12"/>
  <c r="BW68" i="12"/>
  <c r="BW67" i="12"/>
  <c r="BW66" i="12"/>
  <c r="BW65" i="12"/>
  <c r="BW64" i="12"/>
  <c r="BW63" i="12"/>
  <c r="AG63" i="12"/>
  <c r="AH63" i="12" s="1"/>
  <c r="BW62" i="12"/>
  <c r="AH62" i="12"/>
  <c r="BW61" i="12"/>
  <c r="BW60" i="12"/>
  <c r="BW59" i="12"/>
  <c r="BW58" i="12"/>
  <c r="BW57" i="12"/>
  <c r="BW56" i="12"/>
  <c r="BW55" i="12"/>
  <c r="BW54" i="12"/>
  <c r="BP43" i="12"/>
  <c r="B43" i="12"/>
  <c r="BP42" i="12"/>
  <c r="B42" i="12"/>
  <c r="AZ41" i="12"/>
  <c r="BO40" i="12"/>
  <c r="BP40" i="12" s="1"/>
  <c r="AI40" i="12"/>
  <c r="AH40" i="12"/>
  <c r="AG40" i="12"/>
  <c r="B40" i="12"/>
  <c r="B38" i="12"/>
  <c r="B37" i="12"/>
  <c r="BO36" i="12"/>
  <c r="BP36" i="12" s="1"/>
  <c r="B36" i="12"/>
  <c r="BO35" i="12"/>
  <c r="BP35" i="12" s="1"/>
  <c r="BW39" i="12" s="1"/>
  <c r="B35" i="12"/>
  <c r="BO34" i="12"/>
  <c r="BP34" i="12" s="1"/>
  <c r="BW38" i="12" s="1"/>
  <c r="AZ34" i="12"/>
  <c r="B34" i="12"/>
  <c r="FJ33" i="12"/>
  <c r="DS28" i="12" s="1"/>
  <c r="FI33" i="12"/>
  <c r="DS27" i="12" s="1"/>
  <c r="FH33" i="12"/>
  <c r="DS26" i="12" s="1"/>
  <c r="FG33" i="12"/>
  <c r="DS25" i="12" s="1"/>
  <c r="FF33" i="12"/>
  <c r="DS24" i="12" s="1"/>
  <c r="FE33" i="12"/>
  <c r="DS23" i="12" s="1"/>
  <c r="FD33" i="12"/>
  <c r="DS22" i="12" s="1"/>
  <c r="FC33" i="12"/>
  <c r="DS21" i="12" s="1"/>
  <c r="FB33" i="12"/>
  <c r="FA33" i="12"/>
  <c r="EZ33" i="12"/>
  <c r="DS18" i="12" s="1"/>
  <c r="EY33" i="12"/>
  <c r="DS17" i="12" s="1"/>
  <c r="EX33" i="12"/>
  <c r="DS16" i="12" s="1"/>
  <c r="EW33" i="12"/>
  <c r="DS15" i="12" s="1"/>
  <c r="EV33" i="12"/>
  <c r="DS14" i="12" s="1"/>
  <c r="EU33" i="12"/>
  <c r="DS13" i="12" s="1"/>
  <c r="ET33" i="12"/>
  <c r="DS12" i="12" s="1"/>
  <c r="ES33" i="12"/>
  <c r="DS11" i="12" s="1"/>
  <c r="ER33" i="12"/>
  <c r="DS10" i="12" s="1"/>
  <c r="EQ33" i="12"/>
  <c r="DS9" i="12" s="1"/>
  <c r="EP33" i="12"/>
  <c r="DS8" i="12" s="1"/>
  <c r="EO33" i="12"/>
  <c r="DS7" i="12" s="1"/>
  <c r="EN33" i="12"/>
  <c r="DS6" i="12" s="1"/>
  <c r="EM33" i="12"/>
  <c r="DS5" i="12" s="1"/>
  <c r="BW33" i="12"/>
  <c r="BW34" i="12" s="1"/>
  <c r="BO33" i="12"/>
  <c r="BP33" i="12" s="1"/>
  <c r="BP64" i="12" s="1"/>
  <c r="AZ33" i="12"/>
  <c r="BO32" i="12"/>
  <c r="BP32" i="12" s="1"/>
  <c r="CQ22" i="12" s="1"/>
  <c r="CR22" i="12" s="1"/>
  <c r="AZ32" i="12"/>
  <c r="B32" i="12"/>
  <c r="BO31" i="12"/>
  <c r="BP31" i="12" s="1"/>
  <c r="BP55" i="12" s="1"/>
  <c r="CO30" i="12"/>
  <c r="BZ30" i="12"/>
  <c r="BO30" i="12"/>
  <c r="BP30" i="12" s="1"/>
  <c r="DB20" i="12" s="1"/>
  <c r="DO29" i="12"/>
  <c r="AZ29" i="12"/>
  <c r="AZ28" i="12"/>
  <c r="BO28" i="12" s="1"/>
  <c r="AZ27" i="12"/>
  <c r="EL56" i="12" s="1"/>
  <c r="AZ26" i="12"/>
  <c r="EL55" i="12" s="1"/>
  <c r="AZ25" i="12"/>
  <c r="DW25" i="12" s="1"/>
  <c r="AZ24" i="12"/>
  <c r="BO24" i="12" s="1"/>
  <c r="AZ23" i="12"/>
  <c r="AZ22" i="12"/>
  <c r="EL51" i="12" s="1"/>
  <c r="D22" i="12"/>
  <c r="AZ21" i="12"/>
  <c r="EL50" i="12" s="1"/>
  <c r="DS20" i="12"/>
  <c r="AZ20" i="12"/>
  <c r="BO20" i="12" s="1"/>
  <c r="DS19" i="12"/>
  <c r="AZ19" i="12"/>
  <c r="EL48" i="12" s="1"/>
  <c r="AZ18" i="12"/>
  <c r="AZ17" i="12"/>
  <c r="EL46" i="12" s="1"/>
  <c r="AZ16" i="12"/>
  <c r="DW16" i="12" s="1"/>
  <c r="AZ15" i="12"/>
  <c r="EL44" i="12" s="1"/>
  <c r="AZ14" i="12"/>
  <c r="DW14" i="12" s="1"/>
  <c r="DW13" i="12"/>
  <c r="AZ13" i="12"/>
  <c r="EL42" i="12" s="1"/>
  <c r="AZ12" i="12"/>
  <c r="EL41" i="12" s="1"/>
  <c r="AZ11" i="12"/>
  <c r="AZ10" i="12"/>
  <c r="EL39" i="12" s="1"/>
  <c r="AZ9" i="12"/>
  <c r="DW9" i="12" s="1"/>
  <c r="AZ8" i="12"/>
  <c r="EL37" i="12" s="1"/>
  <c r="AZ7" i="12"/>
  <c r="EL36" i="12" s="1"/>
  <c r="AZ6" i="12"/>
  <c r="EL35" i="12" s="1"/>
  <c r="AZ5" i="12"/>
  <c r="EL34" i="12" s="1"/>
  <c r="BD4" i="12"/>
  <c r="BT12" i="13" l="1"/>
  <c r="ED12" i="13"/>
  <c r="EB21" i="13"/>
  <c r="BW13" i="13"/>
  <c r="EC21" i="13"/>
  <c r="BT22" i="13"/>
  <c r="CC6" i="13"/>
  <c r="CQ6" i="13" s="1"/>
  <c r="EB7" i="13"/>
  <c r="ED7" i="13" s="1"/>
  <c r="EE7" i="13" s="1"/>
  <c r="BX23" i="13"/>
  <c r="CL23" i="13" s="1"/>
  <c r="DB23" i="13"/>
  <c r="BT17" i="13"/>
  <c r="DB17" i="13" s="1"/>
  <c r="BA5" i="13"/>
  <c r="CY28" i="13"/>
  <c r="BU20" i="13"/>
  <c r="BU23" i="13"/>
  <c r="BW26" i="13"/>
  <c r="BW10" i="13"/>
  <c r="BU17" i="13"/>
  <c r="CQ16" i="13"/>
  <c r="CQ24" i="13"/>
  <c r="CC22" i="13"/>
  <c r="CQ22" i="13" s="1"/>
  <c r="CC21" i="13"/>
  <c r="EJ59" i="13"/>
  <c r="EJ60" i="13" s="1"/>
  <c r="EK6" i="13" s="1"/>
  <c r="DF5" i="13"/>
  <c r="DG5" i="13" s="1"/>
  <c r="BW17" i="13"/>
  <c r="CY22" i="13"/>
  <c r="EC26" i="13"/>
  <c r="EV31" i="13"/>
  <c r="BU22" i="13"/>
  <c r="EI5" i="13"/>
  <c r="BW22" i="13"/>
  <c r="BT10" i="13"/>
  <c r="CY9" i="13"/>
  <c r="BS28" i="13"/>
  <c r="BW28" i="13" s="1"/>
  <c r="CC20" i="13"/>
  <c r="CQ20" i="13" s="1"/>
  <c r="EO31" i="13"/>
  <c r="BT16" i="13"/>
  <c r="DB16" i="13" s="1"/>
  <c r="BW16" i="13"/>
  <c r="BT20" i="13"/>
  <c r="BX20" i="13" s="1"/>
  <c r="EY31" i="13"/>
  <c r="EC29" i="13"/>
  <c r="CQ13" i="13"/>
  <c r="CF26" i="13"/>
  <c r="CV26" i="13" s="1"/>
  <c r="EC22" i="13"/>
  <c r="ED22" i="13" s="1"/>
  <c r="EE22" i="13" s="1"/>
  <c r="EC19" i="13"/>
  <c r="BU10" i="13"/>
  <c r="CQ26" i="13"/>
  <c r="BT29" i="13"/>
  <c r="BX29" i="13" s="1"/>
  <c r="EB17" i="13"/>
  <c r="ED17" i="13" s="1"/>
  <c r="FF31" i="13"/>
  <c r="EB11" i="13"/>
  <c r="BT21" i="13"/>
  <c r="EC6" i="13"/>
  <c r="CQ21" i="13"/>
  <c r="EU31" i="13"/>
  <c r="BW27" i="13"/>
  <c r="CY24" i="13"/>
  <c r="CY16" i="13"/>
  <c r="CY19" i="13"/>
  <c r="CY5" i="13"/>
  <c r="CY6" i="13"/>
  <c r="CY7" i="13"/>
  <c r="CY8" i="13"/>
  <c r="CY14" i="13"/>
  <c r="CY15" i="13"/>
  <c r="CY11" i="13"/>
  <c r="CY12" i="13"/>
  <c r="EC23" i="13"/>
  <c r="ED23" i="13" s="1"/>
  <c r="EE23" i="13" s="1"/>
  <c r="BT7" i="13"/>
  <c r="DB7" i="13" s="1"/>
  <c r="EK31" i="13"/>
  <c r="BW19" i="13"/>
  <c r="EC14" i="13"/>
  <c r="EC18" i="13"/>
  <c r="ED18" i="13" s="1"/>
  <c r="BT18" i="13"/>
  <c r="BX18" i="13" s="1"/>
  <c r="ED24" i="13"/>
  <c r="EE24" i="13" s="1"/>
  <c r="BT26" i="13"/>
  <c r="BX26" i="13" s="1"/>
  <c r="BT6" i="13"/>
  <c r="DB6" i="13" s="1"/>
  <c r="BW6" i="13"/>
  <c r="ED19" i="13"/>
  <c r="BW15" i="13"/>
  <c r="EX31" i="13"/>
  <c r="ET31" i="13"/>
  <c r="BW21" i="13"/>
  <c r="EC28" i="13"/>
  <c r="ED28" i="13" s="1"/>
  <c r="EE28" i="13" s="1"/>
  <c r="ED20" i="13"/>
  <c r="EE20" i="13" s="1"/>
  <c r="CC15" i="13"/>
  <c r="CQ15" i="13" s="1"/>
  <c r="BU7" i="13"/>
  <c r="BT19" i="13"/>
  <c r="DB19" i="13" s="1"/>
  <c r="CQ25" i="13"/>
  <c r="EB8" i="13"/>
  <c r="ED8" i="13" s="1"/>
  <c r="EE8" i="13" s="1"/>
  <c r="CF13" i="13"/>
  <c r="CV13" i="13" s="1"/>
  <c r="BU19" i="13"/>
  <c r="EC27" i="13"/>
  <c r="BU15" i="13"/>
  <c r="EL31" i="13"/>
  <c r="CC7" i="13"/>
  <c r="CQ7" i="13" s="1"/>
  <c r="CC19" i="13"/>
  <c r="CQ19" i="13" s="1"/>
  <c r="BT15" i="13"/>
  <c r="DB15" i="13" s="1"/>
  <c r="BT25" i="13"/>
  <c r="DB25" i="13" s="1"/>
  <c r="ED25" i="13"/>
  <c r="EE25" i="13" s="1"/>
  <c r="EB26" i="13"/>
  <c r="FE31" i="13"/>
  <c r="CF27" i="13"/>
  <c r="CV27" i="13" s="1"/>
  <c r="FD31" i="13"/>
  <c r="EB27" i="13"/>
  <c r="BU25" i="13"/>
  <c r="ED11" i="13"/>
  <c r="EE11" i="13" s="1"/>
  <c r="BW25" i="13"/>
  <c r="CQ27" i="13"/>
  <c r="ED21" i="13"/>
  <c r="EE21" i="13" s="1"/>
  <c r="BU27" i="13"/>
  <c r="BT27" i="13"/>
  <c r="DB27" i="13" s="1"/>
  <c r="EE12" i="13"/>
  <c r="BX22" i="13"/>
  <c r="DB22" i="13"/>
  <c r="BX11" i="13"/>
  <c r="DB11" i="13"/>
  <c r="AG66" i="13"/>
  <c r="AH65" i="13"/>
  <c r="BW66" i="13"/>
  <c r="BW60" i="13"/>
  <c r="BW67" i="13"/>
  <c r="BW62" i="13"/>
  <c r="BW59" i="13"/>
  <c r="BW55" i="13"/>
  <c r="BW54" i="13"/>
  <c r="BW56" i="13"/>
  <c r="BW65" i="13"/>
  <c r="BP59" i="13"/>
  <c r="BW68" i="13"/>
  <c r="BW63" i="13"/>
  <c r="BW61" i="13"/>
  <c r="BW57" i="13"/>
  <c r="BP60" i="13"/>
  <c r="BW58" i="13"/>
  <c r="BW69" i="13"/>
  <c r="BW64" i="13"/>
  <c r="CC29" i="13"/>
  <c r="BU29" i="13"/>
  <c r="BW29" i="13"/>
  <c r="CV25" i="13"/>
  <c r="CV23" i="13"/>
  <c r="ED14" i="13"/>
  <c r="CV17" i="13"/>
  <c r="ES31" i="13"/>
  <c r="CC14" i="13"/>
  <c r="CQ14" i="13" s="1"/>
  <c r="BU14" i="13"/>
  <c r="EB15" i="13"/>
  <c r="ED15" i="13" s="1"/>
  <c r="BW14" i="13"/>
  <c r="BY23" i="13"/>
  <c r="BZ23" i="13" s="1"/>
  <c r="EN31" i="13"/>
  <c r="BU9" i="13"/>
  <c r="BW9" i="13"/>
  <c r="CC9" i="13"/>
  <c r="CQ9" i="13" s="1"/>
  <c r="EB10" i="13"/>
  <c r="ED10" i="13" s="1"/>
  <c r="BX10" i="13"/>
  <c r="DB10" i="13"/>
  <c r="BX16" i="13"/>
  <c r="CA28" i="13"/>
  <c r="CG28" i="13" s="1"/>
  <c r="CP28" i="13" s="1"/>
  <c r="BX24" i="13"/>
  <c r="DB24" i="13"/>
  <c r="EL34" i="13"/>
  <c r="EE13" i="13"/>
  <c r="BT9" i="13"/>
  <c r="DB21" i="13"/>
  <c r="BX21" i="13"/>
  <c r="EM31" i="13"/>
  <c r="EB9" i="13"/>
  <c r="ED9" i="13" s="1"/>
  <c r="BW8" i="13"/>
  <c r="BT8" i="13"/>
  <c r="CC8" i="13"/>
  <c r="CQ8" i="13" s="1"/>
  <c r="BU8" i="13"/>
  <c r="EE19" i="13"/>
  <c r="CV21" i="13"/>
  <c r="DB5" i="13"/>
  <c r="BX5" i="13"/>
  <c r="EE17" i="13"/>
  <c r="BX6" i="13"/>
  <c r="CV20" i="13"/>
  <c r="CV11" i="13"/>
  <c r="BX13" i="13"/>
  <c r="DB13" i="13"/>
  <c r="CV6" i="13"/>
  <c r="ED16" i="13"/>
  <c r="FG31" i="13"/>
  <c r="BT14" i="13"/>
  <c r="CV10" i="13"/>
  <c r="CV9" i="13"/>
  <c r="CV7" i="13"/>
  <c r="EJ31" i="13"/>
  <c r="CC5" i="13"/>
  <c r="CQ5" i="13" s="1"/>
  <c r="CZ5" i="13" s="1"/>
  <c r="BU5" i="13"/>
  <c r="EB6" i="13"/>
  <c r="ED6" i="13" s="1"/>
  <c r="BW5" i="13"/>
  <c r="CV14" i="13"/>
  <c r="CQ10" i="12"/>
  <c r="CR10" i="12" s="1"/>
  <c r="CQ15" i="12"/>
  <c r="CR15" i="12" s="1"/>
  <c r="CQ20" i="12"/>
  <c r="CR20" i="12" s="1"/>
  <c r="CQ11" i="12"/>
  <c r="CR11" i="12" s="1"/>
  <c r="CQ21" i="12"/>
  <c r="CR21" i="12" s="1"/>
  <c r="CQ7" i="12"/>
  <c r="CR7" i="12" s="1"/>
  <c r="CQ5" i="12"/>
  <c r="CR5" i="12" s="1"/>
  <c r="CQ25" i="12"/>
  <c r="CR25" i="12" s="1"/>
  <c r="DW5" i="12"/>
  <c r="AG64" i="12"/>
  <c r="AG65" i="12" s="1"/>
  <c r="CG11" i="12"/>
  <c r="CH11" i="12" s="1"/>
  <c r="CI11" i="12" s="1"/>
  <c r="BP14" i="12"/>
  <c r="BP15" i="12"/>
  <c r="BR15" i="12" s="1"/>
  <c r="BP21" i="12"/>
  <c r="BP16" i="12"/>
  <c r="BR16" i="12" s="1"/>
  <c r="BP17" i="12"/>
  <c r="BR17" i="12" s="1"/>
  <c r="BP18" i="12"/>
  <c r="BR18" i="12" s="1"/>
  <c r="BP20" i="12"/>
  <c r="BP19" i="12"/>
  <c r="BR19" i="12" s="1"/>
  <c r="DW10" i="12"/>
  <c r="CQ12" i="12"/>
  <c r="CR12" i="12" s="1"/>
  <c r="CQ16" i="12"/>
  <c r="CR16" i="12" s="1"/>
  <c r="DW19" i="12"/>
  <c r="BO17" i="12"/>
  <c r="BO5" i="12"/>
  <c r="CQ9" i="12"/>
  <c r="CR9" i="12" s="1"/>
  <c r="DW22" i="12"/>
  <c r="DW26" i="12"/>
  <c r="CQ13" i="12"/>
  <c r="CR13" i="12" s="1"/>
  <c r="CQ17" i="12"/>
  <c r="CR17" i="12" s="1"/>
  <c r="CQ8" i="12"/>
  <c r="CR8" i="12" s="1"/>
  <c r="CQ18" i="12"/>
  <c r="CR18" i="12" s="1"/>
  <c r="CQ14" i="12"/>
  <c r="CR14" i="12" s="1"/>
  <c r="BS24" i="12"/>
  <c r="BT24" i="12" s="1"/>
  <c r="BV24" i="12" s="1"/>
  <c r="CG5" i="12"/>
  <c r="CH5" i="12" s="1"/>
  <c r="CL5" i="12" s="1"/>
  <c r="CM5" i="12" s="1"/>
  <c r="CN5" i="12" s="1"/>
  <c r="BS8" i="12"/>
  <c r="BT8" i="12" s="1"/>
  <c r="DB10" i="12"/>
  <c r="DB15" i="12"/>
  <c r="BO21" i="12"/>
  <c r="BS23" i="12"/>
  <c r="BT23" i="12" s="1"/>
  <c r="CF23" i="12" s="1"/>
  <c r="CG24" i="12"/>
  <c r="CH24" i="12" s="1"/>
  <c r="BP22" i="12"/>
  <c r="BO26" i="12"/>
  <c r="DB5" i="12"/>
  <c r="CG23" i="12"/>
  <c r="CH23" i="12" s="1"/>
  <c r="CL23" i="12" s="1"/>
  <c r="CM23" i="12" s="1"/>
  <c r="CN23" i="12" s="1"/>
  <c r="DW24" i="12"/>
  <c r="DH5" i="12"/>
  <c r="EM34" i="12" s="1"/>
  <c r="CG6" i="12"/>
  <c r="CH6" i="12" s="1"/>
  <c r="DB7" i="12"/>
  <c r="BP12" i="12"/>
  <c r="BR12" i="12" s="1"/>
  <c r="BS13" i="12"/>
  <c r="BT13" i="12" s="1"/>
  <c r="EE14" i="12" s="1"/>
  <c r="BS14" i="12"/>
  <c r="BT14" i="12" s="1"/>
  <c r="BO15" i="12"/>
  <c r="BS21" i="12"/>
  <c r="BT21" i="12" s="1"/>
  <c r="CF21" i="12" s="1"/>
  <c r="CG22" i="12"/>
  <c r="CH22" i="12" s="1"/>
  <c r="CI22" i="12" s="1"/>
  <c r="CY22" i="12" s="1"/>
  <c r="CQ23" i="12"/>
  <c r="CR23" i="12" s="1"/>
  <c r="CQ26" i="12"/>
  <c r="CR26" i="12" s="1"/>
  <c r="CG25" i="12"/>
  <c r="CH25" i="12" s="1"/>
  <c r="CL25" i="12" s="1"/>
  <c r="CM25" i="12" s="1"/>
  <c r="CN25" i="12" s="1"/>
  <c r="BP28" i="12"/>
  <c r="BR28" i="12" s="1"/>
  <c r="CG10" i="12"/>
  <c r="CH10" i="12" s="1"/>
  <c r="CI10" i="12" s="1"/>
  <c r="DB13" i="12"/>
  <c r="DB18" i="12"/>
  <c r="BP7" i="12"/>
  <c r="BR7" i="12" s="1"/>
  <c r="DB12" i="12"/>
  <c r="BO6" i="12"/>
  <c r="CG27" i="12"/>
  <c r="CH27" i="12" s="1"/>
  <c r="CI27" i="12" s="1"/>
  <c r="DB9" i="12"/>
  <c r="BO13" i="12"/>
  <c r="BS19" i="12"/>
  <c r="BT19" i="12" s="1"/>
  <c r="BR21" i="12"/>
  <c r="DB27" i="12"/>
  <c r="BS6" i="12"/>
  <c r="BT6" i="12" s="1"/>
  <c r="EN31" i="12" s="1"/>
  <c r="DB8" i="12"/>
  <c r="BP13" i="12"/>
  <c r="DW15" i="12"/>
  <c r="CG19" i="12"/>
  <c r="CH19" i="12" s="1"/>
  <c r="CI19" i="12" s="1"/>
  <c r="CY19" i="12" s="1"/>
  <c r="BP26" i="12"/>
  <c r="CQ6" i="12"/>
  <c r="CR6" i="12" s="1"/>
  <c r="BP11" i="12"/>
  <c r="CG14" i="12"/>
  <c r="CH14" i="12" s="1"/>
  <c r="CI14" i="12" s="1"/>
  <c r="CY14" i="12" s="1"/>
  <c r="CQ19" i="12"/>
  <c r="CR19" i="12" s="1"/>
  <c r="BP25" i="12"/>
  <c r="BR25" i="12" s="1"/>
  <c r="DW27" i="12"/>
  <c r="CG15" i="12"/>
  <c r="CH15" i="12" s="1"/>
  <c r="CI15" i="12" s="1"/>
  <c r="BP8" i="12"/>
  <c r="BS9" i="12"/>
  <c r="BT9" i="12" s="1"/>
  <c r="DB14" i="12"/>
  <c r="BP24" i="12"/>
  <c r="BS7" i="12"/>
  <c r="BT7" i="12" s="1"/>
  <c r="EO31" i="12" s="1"/>
  <c r="CG9" i="12"/>
  <c r="CH9" i="12" s="1"/>
  <c r="DB11" i="12"/>
  <c r="DB16" i="12"/>
  <c r="CG7" i="12"/>
  <c r="CH7" i="12" s="1"/>
  <c r="BP23" i="12"/>
  <c r="BR23" i="12" s="1"/>
  <c r="BS27" i="12"/>
  <c r="BT27" i="12" s="1"/>
  <c r="BV27" i="12" s="1"/>
  <c r="BP6" i="12"/>
  <c r="BR6" i="12" s="1"/>
  <c r="CG8" i="12"/>
  <c r="CH8" i="12" s="1"/>
  <c r="DB17" i="12"/>
  <c r="BO22" i="12"/>
  <c r="BP29" i="12"/>
  <c r="BO12" i="12"/>
  <c r="BS20" i="12"/>
  <c r="BT20" i="12" s="1"/>
  <c r="CF20" i="12" s="1"/>
  <c r="BS22" i="12"/>
  <c r="BT22" i="12" s="1"/>
  <c r="BV22" i="12" s="1"/>
  <c r="BS29" i="12"/>
  <c r="BT29" i="12" s="1"/>
  <c r="DB6" i="12"/>
  <c r="DW8" i="12"/>
  <c r="BS12" i="12"/>
  <c r="BT12" i="12" s="1"/>
  <c r="CG13" i="12"/>
  <c r="CH13" i="12" s="1"/>
  <c r="CI13" i="12" s="1"/>
  <c r="BS15" i="12"/>
  <c r="BT15" i="12" s="1"/>
  <c r="BS16" i="12"/>
  <c r="BT16" i="12" s="1"/>
  <c r="BS18" i="12"/>
  <c r="BT18" i="12" s="1"/>
  <c r="CG20" i="12"/>
  <c r="CH20" i="12" s="1"/>
  <c r="CG21" i="12"/>
  <c r="CH21" i="12" s="1"/>
  <c r="CI21" i="12" s="1"/>
  <c r="CY21" i="12" s="1"/>
  <c r="BS25" i="12"/>
  <c r="BT25" i="12" s="1"/>
  <c r="EE26" i="12" s="1"/>
  <c r="BP9" i="12"/>
  <c r="BR9" i="12" s="1"/>
  <c r="BP5" i="12"/>
  <c r="BR5" i="12" s="1"/>
  <c r="BO8" i="12"/>
  <c r="BS5" i="12"/>
  <c r="CG17" i="12"/>
  <c r="CH17" i="12" s="1"/>
  <c r="CI17" i="12" s="1"/>
  <c r="BP27" i="12"/>
  <c r="DB28" i="12"/>
  <c r="DW7" i="12"/>
  <c r="BP10" i="12"/>
  <c r="BR10" i="12" s="1"/>
  <c r="BS11" i="12"/>
  <c r="BT11" i="12" s="1"/>
  <c r="BX11" i="12" s="1"/>
  <c r="CG12" i="12"/>
  <c r="CH12" i="12" s="1"/>
  <c r="CI12" i="12" s="1"/>
  <c r="CG16" i="12"/>
  <c r="CH16" i="12" s="1"/>
  <c r="CI16" i="12" s="1"/>
  <c r="BS17" i="12"/>
  <c r="BT17" i="12" s="1"/>
  <c r="BX17" i="12" s="1"/>
  <c r="CG18" i="12"/>
  <c r="CH18" i="12" s="1"/>
  <c r="DB19" i="12"/>
  <c r="DB22" i="12"/>
  <c r="EL53" i="12"/>
  <c r="BO80" i="12"/>
  <c r="BS10" i="12"/>
  <c r="BT10" i="12" s="1"/>
  <c r="BO27" i="12"/>
  <c r="EL38" i="12"/>
  <c r="BO9" i="12"/>
  <c r="EL40" i="12"/>
  <c r="DW11" i="12"/>
  <c r="BO11" i="12"/>
  <c r="CF7" i="12"/>
  <c r="BO16" i="12"/>
  <c r="EL45" i="12"/>
  <c r="DW6" i="12"/>
  <c r="EL52" i="12"/>
  <c r="BO23" i="12"/>
  <c r="DW23" i="12"/>
  <c r="CI18" i="12"/>
  <c r="EL47" i="12"/>
  <c r="BO18" i="12"/>
  <c r="DW18" i="12"/>
  <c r="BO7" i="12"/>
  <c r="BO10" i="12"/>
  <c r="DW12" i="12"/>
  <c r="CT23" i="12"/>
  <c r="EL43" i="12"/>
  <c r="BO14" i="12"/>
  <c r="DW29" i="12"/>
  <c r="BO29" i="12"/>
  <c r="CL24" i="12"/>
  <c r="CM24" i="12" s="1"/>
  <c r="CN24" i="12" s="1"/>
  <c r="CI24" i="12"/>
  <c r="EL49" i="12"/>
  <c r="DW20" i="12"/>
  <c r="BP63" i="12"/>
  <c r="BP66" i="12" s="1"/>
  <c r="BP67" i="12" s="1"/>
  <c r="BP68" i="12" s="1"/>
  <c r="CQ24" i="12"/>
  <c r="CR24" i="12" s="1"/>
  <c r="CQ28" i="12"/>
  <c r="CR28" i="12" s="1"/>
  <c r="CQ27" i="12"/>
  <c r="CR27" i="12" s="1"/>
  <c r="CQ29" i="12"/>
  <c r="CR29" i="12" s="1"/>
  <c r="DW21" i="12"/>
  <c r="BP54" i="12"/>
  <c r="BP57" i="12" s="1"/>
  <c r="BP58" i="12" s="1"/>
  <c r="BZ31" i="12"/>
  <c r="BZ32" i="12" s="1"/>
  <c r="DB24" i="12"/>
  <c r="DB21" i="12"/>
  <c r="BZ33" i="12"/>
  <c r="BZ34" i="12" s="1"/>
  <c r="DB23" i="12"/>
  <c r="DB26" i="12"/>
  <c r="DB25" i="12"/>
  <c r="DB29" i="12"/>
  <c r="DW17" i="12"/>
  <c r="EL57" i="12"/>
  <c r="DW28" i="12"/>
  <c r="BO19" i="12"/>
  <c r="EL54" i="12"/>
  <c r="BO25" i="12"/>
  <c r="BX24" i="12"/>
  <c r="CG28" i="12"/>
  <c r="CH28" i="12" s="1"/>
  <c r="BS28" i="12"/>
  <c r="CG26" i="12"/>
  <c r="CH26" i="12" s="1"/>
  <c r="BS26" i="12"/>
  <c r="AH65" i="12"/>
  <c r="AG66" i="12"/>
  <c r="BA41" i="1"/>
  <c r="CW23" i="13" l="1"/>
  <c r="CI23" i="12"/>
  <c r="EE12" i="12"/>
  <c r="DB12" i="13"/>
  <c r="BX12" i="13"/>
  <c r="CC28" i="13"/>
  <c r="CQ28" i="13" s="1"/>
  <c r="BU28" i="13"/>
  <c r="ED26" i="13"/>
  <c r="EE26" i="13" s="1"/>
  <c r="DB18" i="13"/>
  <c r="EB29" i="13"/>
  <c r="ED29" i="13" s="1"/>
  <c r="EE29" i="13" s="1"/>
  <c r="BX17" i="13"/>
  <c r="BY17" i="13" s="1"/>
  <c r="BZ17" i="13" s="1"/>
  <c r="BT28" i="13"/>
  <c r="DB28" i="13" s="1"/>
  <c r="BX19" i="13"/>
  <c r="CW19" i="13" s="1"/>
  <c r="BX25" i="13"/>
  <c r="CL25" i="13" s="1"/>
  <c r="DB29" i="13"/>
  <c r="DB20" i="13"/>
  <c r="BX7" i="13"/>
  <c r="BY7" i="13" s="1"/>
  <c r="BZ7" i="13" s="1"/>
  <c r="BX15" i="13"/>
  <c r="CW15" i="13" s="1"/>
  <c r="DB26" i="13"/>
  <c r="ED27" i="13"/>
  <c r="EE27" i="13" s="1"/>
  <c r="BX27" i="13"/>
  <c r="CL27" i="13" s="1"/>
  <c r="CL20" i="13"/>
  <c r="CW20" i="13"/>
  <c r="BY20" i="13"/>
  <c r="BZ20" i="13" s="1"/>
  <c r="CA20" i="13" s="1"/>
  <c r="CG20" i="13" s="1"/>
  <c r="BY18" i="13"/>
  <c r="BZ18" i="13" s="1"/>
  <c r="CL18" i="13"/>
  <c r="CW18" i="13"/>
  <c r="CA23" i="13"/>
  <c r="CG23" i="13" s="1"/>
  <c r="BY13" i="13"/>
  <c r="BZ13" i="13" s="1"/>
  <c r="CW13" i="13"/>
  <c r="CL13" i="13"/>
  <c r="BX8" i="13"/>
  <c r="DB8" i="13"/>
  <c r="DB9" i="13"/>
  <c r="BX9" i="13"/>
  <c r="EE18" i="13"/>
  <c r="BY5" i="13"/>
  <c r="BZ5" i="13" s="1"/>
  <c r="CW5" i="13"/>
  <c r="CL5" i="13"/>
  <c r="CL16" i="13"/>
  <c r="BY16" i="13"/>
  <c r="BZ16" i="13" s="1"/>
  <c r="CW16" i="13"/>
  <c r="EE10" i="13"/>
  <c r="EE14" i="13"/>
  <c r="EE6" i="13"/>
  <c r="EE9" i="13"/>
  <c r="BY6" i="13"/>
  <c r="BZ6" i="13" s="1"/>
  <c r="CW6" i="13"/>
  <c r="CL6" i="13"/>
  <c r="CW26" i="13"/>
  <c r="BY26" i="13"/>
  <c r="BZ26" i="13" s="1"/>
  <c r="CL26" i="13"/>
  <c r="DB14" i="13"/>
  <c r="BX14" i="13"/>
  <c r="BY29" i="13"/>
  <c r="BZ29" i="13" s="1"/>
  <c r="CL29" i="13"/>
  <c r="CW29" i="13"/>
  <c r="EM34" i="13"/>
  <c r="BY15" i="13"/>
  <c r="BZ15" i="13" s="1"/>
  <c r="EE15" i="13"/>
  <c r="CL22" i="13"/>
  <c r="CW22" i="13"/>
  <c r="BY22" i="13"/>
  <c r="BZ22" i="13" s="1"/>
  <c r="EE16" i="13"/>
  <c r="CW21" i="13"/>
  <c r="BY21" i="13"/>
  <c r="BZ21" i="13" s="1"/>
  <c r="CL21" i="13"/>
  <c r="AH66" i="13"/>
  <c r="AG67" i="13"/>
  <c r="CW24" i="13"/>
  <c r="BY24" i="13"/>
  <c r="BZ24" i="13" s="1"/>
  <c r="CL24" i="13"/>
  <c r="CW10" i="13"/>
  <c r="CL10" i="13"/>
  <c r="BY10" i="13"/>
  <c r="BZ10" i="13" s="1"/>
  <c r="CW11" i="13"/>
  <c r="CL11" i="13"/>
  <c r="BY11" i="13"/>
  <c r="BZ11" i="13" s="1"/>
  <c r="AH64" i="12"/>
  <c r="CF25" i="12"/>
  <c r="CT25" i="12" s="1"/>
  <c r="BU18" i="12"/>
  <c r="BY18" i="12" s="1"/>
  <c r="EF7" i="12"/>
  <c r="BX23" i="12"/>
  <c r="EF19" i="12"/>
  <c r="FE31" i="12"/>
  <c r="BV23" i="12"/>
  <c r="CC23" i="12" s="1"/>
  <c r="EE24" i="12"/>
  <c r="BX7" i="12"/>
  <c r="EF10" i="12"/>
  <c r="EB7" i="12"/>
  <c r="EB8" i="12" s="1"/>
  <c r="EB9" i="12" s="1"/>
  <c r="EB10" i="12" s="1"/>
  <c r="EB11" i="12" s="1"/>
  <c r="EB12" i="12" s="1"/>
  <c r="EB13" i="12" s="1"/>
  <c r="EB14" i="12" s="1"/>
  <c r="EB15" i="12" s="1"/>
  <c r="EB16" i="12" s="1"/>
  <c r="EB17" i="12" s="1"/>
  <c r="EB18" i="12" s="1"/>
  <c r="EB19" i="12" s="1"/>
  <c r="EB20" i="12" s="1"/>
  <c r="EB21" i="12" s="1"/>
  <c r="EB22" i="12" s="1"/>
  <c r="EB23" i="12" s="1"/>
  <c r="EB24" i="12" s="1"/>
  <c r="EB25" i="12" s="1"/>
  <c r="EE8" i="12"/>
  <c r="BU6" i="12"/>
  <c r="EU31" i="12"/>
  <c r="BU25" i="12"/>
  <c r="BY25" i="12" s="1"/>
  <c r="EE22" i="12"/>
  <c r="BX6" i="12"/>
  <c r="BX22" i="12"/>
  <c r="FD31" i="12"/>
  <c r="CF6" i="12"/>
  <c r="CT6" i="12" s="1"/>
  <c r="EE23" i="12"/>
  <c r="BV6" i="12"/>
  <c r="CC6" i="12" s="1"/>
  <c r="FF31" i="12"/>
  <c r="BV17" i="12"/>
  <c r="CC17" i="12" s="1"/>
  <c r="CF22" i="12"/>
  <c r="CT22" i="12" s="1"/>
  <c r="EE18" i="12"/>
  <c r="BR13" i="12"/>
  <c r="EF13" i="12" s="1"/>
  <c r="BX13" i="12"/>
  <c r="CF13" i="12"/>
  <c r="CT13" i="12" s="1"/>
  <c r="EE28" i="12"/>
  <c r="CI8" i="12"/>
  <c r="CY8" i="12" s="1"/>
  <c r="BU19" i="12"/>
  <c r="BY19" i="12" s="1"/>
  <c r="CT20" i="12"/>
  <c r="BR11" i="12"/>
  <c r="BU11" i="12" s="1"/>
  <c r="CF27" i="12"/>
  <c r="CT27" i="12" s="1"/>
  <c r="BR29" i="12"/>
  <c r="BU29" i="12" s="1"/>
  <c r="BX27" i="12"/>
  <c r="BX25" i="12"/>
  <c r="BU17" i="12"/>
  <c r="BY17" i="12" s="1"/>
  <c r="BR14" i="12"/>
  <c r="BU14" i="12" s="1"/>
  <c r="BY14" i="12" s="1"/>
  <c r="BR24" i="12"/>
  <c r="EF24" i="12" s="1"/>
  <c r="BR26" i="12"/>
  <c r="EF26" i="12" s="1"/>
  <c r="EG26" i="12" s="1"/>
  <c r="EH26" i="12" s="1"/>
  <c r="BR20" i="12"/>
  <c r="EF20" i="12" s="1"/>
  <c r="BR22" i="12"/>
  <c r="BU22" i="12" s="1"/>
  <c r="FG31" i="12"/>
  <c r="BR8" i="12"/>
  <c r="EF9" i="12" s="1"/>
  <c r="FI31" i="12"/>
  <c r="BV25" i="12"/>
  <c r="CC25" i="12" s="1"/>
  <c r="BV13" i="12"/>
  <c r="CT7" i="12"/>
  <c r="BR27" i="12"/>
  <c r="EF27" i="12" s="1"/>
  <c r="BU9" i="12"/>
  <c r="DE9" i="12" s="1"/>
  <c r="BV21" i="12"/>
  <c r="CC21" i="12" s="1"/>
  <c r="BV11" i="12"/>
  <c r="EF18" i="12"/>
  <c r="BU7" i="12"/>
  <c r="DE7" i="12" s="1"/>
  <c r="CF11" i="12"/>
  <c r="CT11" i="12" s="1"/>
  <c r="EF17" i="12"/>
  <c r="EF22" i="12"/>
  <c r="BU15" i="12"/>
  <c r="DE15" i="12" s="1"/>
  <c r="BV20" i="12"/>
  <c r="CI9" i="12"/>
  <c r="CY9" i="12" s="1"/>
  <c r="BU21" i="12"/>
  <c r="BY21" i="12" s="1"/>
  <c r="CL6" i="12"/>
  <c r="CM6" i="12" s="1"/>
  <c r="CN6" i="12" s="1"/>
  <c r="EW31" i="12"/>
  <c r="BX15" i="12"/>
  <c r="EE16" i="12"/>
  <c r="CF15" i="12"/>
  <c r="CT15" i="12" s="1"/>
  <c r="CL27" i="12"/>
  <c r="CM27" i="12" s="1"/>
  <c r="CN27" i="12" s="1"/>
  <c r="BV15" i="12"/>
  <c r="CC15" i="12" s="1"/>
  <c r="EY31" i="12"/>
  <c r="BV7" i="12"/>
  <c r="CC7" i="12" s="1"/>
  <c r="CI6" i="12"/>
  <c r="CY6" i="12" s="1"/>
  <c r="BX21" i="12"/>
  <c r="FC31" i="12"/>
  <c r="BX20" i="12"/>
  <c r="BT5" i="12"/>
  <c r="EE7" i="12"/>
  <c r="EF6" i="12"/>
  <c r="BA5" i="12"/>
  <c r="EL5" i="12"/>
  <c r="DI5" i="12"/>
  <c r="DJ5" i="12" s="1"/>
  <c r="CT21" i="12"/>
  <c r="EE21" i="12"/>
  <c r="CI7" i="12"/>
  <c r="CY7" i="12" s="1"/>
  <c r="ES31" i="12"/>
  <c r="CI5" i="12"/>
  <c r="CY5" i="12" s="1"/>
  <c r="CI20" i="12"/>
  <c r="CY20" i="12" s="1"/>
  <c r="BU23" i="12"/>
  <c r="BY23" i="12" s="1"/>
  <c r="EF16" i="12"/>
  <c r="CI25" i="12"/>
  <c r="CY25" i="12" s="1"/>
  <c r="FB31" i="12"/>
  <c r="CF17" i="12"/>
  <c r="CT17" i="12" s="1"/>
  <c r="EE25" i="12"/>
  <c r="CF24" i="12"/>
  <c r="CT24" i="12" s="1"/>
  <c r="CI26" i="12"/>
  <c r="CL26" i="12"/>
  <c r="CM26" i="12" s="1"/>
  <c r="CN26" i="12" s="1"/>
  <c r="CY27" i="12"/>
  <c r="BT28" i="12"/>
  <c r="CA28" i="12"/>
  <c r="ET31" i="12"/>
  <c r="BX12" i="12"/>
  <c r="BV12" i="12"/>
  <c r="CC12" i="12" s="1"/>
  <c r="CF12" i="12"/>
  <c r="CT12" i="12" s="1"/>
  <c r="EE13" i="12"/>
  <c r="EX31" i="12"/>
  <c r="CF16" i="12"/>
  <c r="CT16" i="12" s="1"/>
  <c r="BX16" i="12"/>
  <c r="EE17" i="12"/>
  <c r="BV16" i="12"/>
  <c r="CC16" i="12" s="1"/>
  <c r="CY15" i="12"/>
  <c r="CY13" i="12"/>
  <c r="CY23" i="12"/>
  <c r="CY18" i="12"/>
  <c r="FA31" i="12"/>
  <c r="EE20" i="12"/>
  <c r="BX19" i="12"/>
  <c r="BV19" i="12"/>
  <c r="CC19" i="12" s="1"/>
  <c r="CF19" i="12"/>
  <c r="CT19" i="12" s="1"/>
  <c r="ER31" i="12"/>
  <c r="EE11" i="12"/>
  <c r="BX10" i="12"/>
  <c r="BV10" i="12"/>
  <c r="CC10" i="12" s="1"/>
  <c r="CF10" i="12"/>
  <c r="CT10" i="12" s="1"/>
  <c r="BU10" i="12"/>
  <c r="BT26" i="12"/>
  <c r="CY16" i="12"/>
  <c r="BU16" i="12"/>
  <c r="CY24" i="12"/>
  <c r="EV31" i="12"/>
  <c r="BX14" i="12"/>
  <c r="BV14" i="12"/>
  <c r="CC14" i="12" s="1"/>
  <c r="EE15" i="12"/>
  <c r="CF14" i="12"/>
  <c r="CT14" i="12" s="1"/>
  <c r="EP31" i="12"/>
  <c r="BX8" i="12"/>
  <c r="EE9" i="12"/>
  <c r="BV8" i="12"/>
  <c r="CC8" i="12" s="1"/>
  <c r="CF8" i="12"/>
  <c r="CT8" i="12" s="1"/>
  <c r="CY12" i="12"/>
  <c r="DE18" i="12"/>
  <c r="CY17" i="12"/>
  <c r="EQ31" i="12"/>
  <c r="BX9" i="12"/>
  <c r="CF9" i="12"/>
  <c r="CT9" i="12" s="1"/>
  <c r="EE10" i="12"/>
  <c r="EG10" i="12" s="1"/>
  <c r="BV9" i="12"/>
  <c r="CC9" i="12" s="1"/>
  <c r="BX67" i="12"/>
  <c r="BX62" i="12"/>
  <c r="BX55" i="12"/>
  <c r="BX64" i="12"/>
  <c r="BX69" i="12"/>
  <c r="BX61" i="12"/>
  <c r="BX58" i="12"/>
  <c r="BX68" i="12"/>
  <c r="BX63" i="12"/>
  <c r="BP60" i="12"/>
  <c r="BX59" i="12"/>
  <c r="BX54" i="12"/>
  <c r="BX65" i="12"/>
  <c r="BP59" i="12"/>
  <c r="BX57" i="12"/>
  <c r="BX60" i="12"/>
  <c r="BX56" i="12"/>
  <c r="BX66" i="12"/>
  <c r="CI28" i="12"/>
  <c r="CL28" i="12"/>
  <c r="CM28" i="12" s="1"/>
  <c r="CN28" i="12" s="1"/>
  <c r="CF29" i="12"/>
  <c r="BX29" i="12"/>
  <c r="BV29" i="12"/>
  <c r="EZ31" i="12"/>
  <c r="CF18" i="12"/>
  <c r="CT18" i="12" s="1"/>
  <c r="EE19" i="12"/>
  <c r="EG19" i="12" s="1"/>
  <c r="BX18" i="12"/>
  <c r="BV18" i="12"/>
  <c r="CC18" i="12" s="1"/>
  <c r="AH66" i="12"/>
  <c r="AG67" i="12"/>
  <c r="BU12" i="12"/>
  <c r="EM59" i="12"/>
  <c r="EM60" i="12" s="1"/>
  <c r="EN6" i="12" s="1"/>
  <c r="EN34" i="12"/>
  <c r="CY10" i="12"/>
  <c r="DE6" i="12"/>
  <c r="BY6" i="12"/>
  <c r="CY11" i="12"/>
  <c r="D21" i="10"/>
  <c r="BY25" i="13" l="1"/>
  <c r="BZ25" i="13" s="1"/>
  <c r="CA25" i="13" s="1"/>
  <c r="CG25" i="13" s="1"/>
  <c r="CP25" i="13" s="1"/>
  <c r="EG7" i="12"/>
  <c r="EH7" i="12" s="1"/>
  <c r="CL12" i="13"/>
  <c r="CW12" i="13"/>
  <c r="BY12" i="13"/>
  <c r="BZ12" i="13" s="1"/>
  <c r="CA12" i="13" s="1"/>
  <c r="CG12" i="13" s="1"/>
  <c r="CP12" i="13" s="1"/>
  <c r="DE25" i="12"/>
  <c r="CC13" i="12"/>
  <c r="CL19" i="13"/>
  <c r="CL15" i="13"/>
  <c r="BY19" i="13"/>
  <c r="BZ19" i="13" s="1"/>
  <c r="CA19" i="13" s="1"/>
  <c r="CG19" i="13" s="1"/>
  <c r="CP19" i="13" s="1"/>
  <c r="CL7" i="13"/>
  <c r="CW25" i="13"/>
  <c r="CW7" i="13"/>
  <c r="CL17" i="13"/>
  <c r="CW17" i="13"/>
  <c r="BX28" i="13"/>
  <c r="CP20" i="13"/>
  <c r="CW27" i="13"/>
  <c r="BY27" i="13"/>
  <c r="BZ27" i="13" s="1"/>
  <c r="DU5" i="13"/>
  <c r="DV5" i="13" s="1"/>
  <c r="DW5" i="13" s="1"/>
  <c r="BF5" i="13"/>
  <c r="CA5" i="13"/>
  <c r="CA10" i="13"/>
  <c r="CG10" i="13" s="1"/>
  <c r="CP10" i="13" s="1"/>
  <c r="CA21" i="13"/>
  <c r="CG21" i="13" s="1"/>
  <c r="CP21" i="13" s="1"/>
  <c r="CA17" i="13"/>
  <c r="CG17" i="13" s="1"/>
  <c r="CP17" i="13" s="1"/>
  <c r="BF6" i="13"/>
  <c r="D25" i="13" s="1"/>
  <c r="CA6" i="13"/>
  <c r="CG6" i="13" s="1"/>
  <c r="CP6" i="13" s="1"/>
  <c r="CA18" i="13"/>
  <c r="CG18" i="13" s="1"/>
  <c r="CA16" i="13"/>
  <c r="CG16" i="13" s="1"/>
  <c r="CP16" i="13" s="1"/>
  <c r="CA24" i="13"/>
  <c r="CG24" i="13" s="1"/>
  <c r="CP24" i="13" s="1"/>
  <c r="CA7" i="13"/>
  <c r="CG7" i="13" s="1"/>
  <c r="CP7" i="13" s="1"/>
  <c r="CA29" i="13"/>
  <c r="CA26" i="13"/>
  <c r="CG26" i="13" s="1"/>
  <c r="CP26" i="13" s="1"/>
  <c r="CW9" i="13"/>
  <c r="CL9" i="13"/>
  <c r="BY9" i="13"/>
  <c r="BZ9" i="13" s="1"/>
  <c r="CA11" i="13"/>
  <c r="CG11" i="13" s="1"/>
  <c r="CP11" i="13" s="1"/>
  <c r="AH67" i="13"/>
  <c r="AG68" i="13"/>
  <c r="CA15" i="13"/>
  <c r="CG15" i="13" s="1"/>
  <c r="CP15" i="13" s="1"/>
  <c r="CW8" i="13"/>
  <c r="BY8" i="13"/>
  <c r="BZ8" i="13" s="1"/>
  <c r="CL8" i="13"/>
  <c r="CA22" i="13"/>
  <c r="CG22" i="13" s="1"/>
  <c r="CP23" i="13"/>
  <c r="BY14" i="13"/>
  <c r="BZ14" i="13" s="1"/>
  <c r="CW14" i="13"/>
  <c r="CL14" i="13"/>
  <c r="CA13" i="13"/>
  <c r="CG13" i="13" s="1"/>
  <c r="CP13" i="13" s="1"/>
  <c r="CA27" i="13"/>
  <c r="CG27" i="13" s="1"/>
  <c r="CP27" i="13" s="1"/>
  <c r="EN34" i="13"/>
  <c r="CC22" i="12"/>
  <c r="CC20" i="12"/>
  <c r="CC11" i="12"/>
  <c r="CC24" i="12"/>
  <c r="BU27" i="12"/>
  <c r="DE27" i="12" s="1"/>
  <c r="CC29" i="12"/>
  <c r="CC27" i="12"/>
  <c r="EG18" i="12"/>
  <c r="EH18" i="12" s="1"/>
  <c r="DE21" i="12"/>
  <c r="EG24" i="12"/>
  <c r="EG13" i="12"/>
  <c r="EF28" i="12"/>
  <c r="EG28" i="12" s="1"/>
  <c r="EH28" i="12" s="1"/>
  <c r="EG22" i="12"/>
  <c r="EF21" i="12"/>
  <c r="EG21" i="12" s="1"/>
  <c r="EH21" i="12" s="1"/>
  <c r="BY7" i="12"/>
  <c r="CZ7" i="12" s="1"/>
  <c r="BY9" i="12"/>
  <c r="CZ9" i="12" s="1"/>
  <c r="BU20" i="12"/>
  <c r="DE20" i="12" s="1"/>
  <c r="EF11" i="12"/>
  <c r="BY29" i="12"/>
  <c r="BZ29" i="12" s="1"/>
  <c r="CA29" i="12" s="1"/>
  <c r="DE29" i="12"/>
  <c r="DE22" i="12"/>
  <c r="BY22" i="12"/>
  <c r="CZ22" i="12" s="1"/>
  <c r="EF25" i="12"/>
  <c r="EG25" i="12" s="1"/>
  <c r="EH25" i="12" s="1"/>
  <c r="EF12" i="12"/>
  <c r="EG12" i="12" s="1"/>
  <c r="EH12" i="12" s="1"/>
  <c r="BU24" i="12"/>
  <c r="DE24" i="12" s="1"/>
  <c r="EF14" i="12"/>
  <c r="EG14" i="12" s="1"/>
  <c r="EH14" i="12" s="1"/>
  <c r="EF8" i="12"/>
  <c r="EG8" i="12" s="1"/>
  <c r="EH8" i="12" s="1"/>
  <c r="EF15" i="12"/>
  <c r="EG15" i="12" s="1"/>
  <c r="EH15" i="12" s="1"/>
  <c r="EF23" i="12"/>
  <c r="EG23" i="12" s="1"/>
  <c r="EH23" i="12" s="1"/>
  <c r="DE19" i="12"/>
  <c r="DE17" i="12"/>
  <c r="BY15" i="12"/>
  <c r="CO15" i="12" s="1"/>
  <c r="EF29" i="12"/>
  <c r="BU8" i="12"/>
  <c r="DE8" i="12" s="1"/>
  <c r="BU13" i="12"/>
  <c r="EG9" i="12"/>
  <c r="EH9" i="12" s="1"/>
  <c r="EG20" i="12"/>
  <c r="EH20" i="12" s="1"/>
  <c r="EG17" i="12"/>
  <c r="EH17" i="12" s="1"/>
  <c r="EG11" i="12"/>
  <c r="EH11" i="12" s="1"/>
  <c r="DE14" i="12"/>
  <c r="DE11" i="12"/>
  <c r="BY11" i="12"/>
  <c r="EE6" i="12"/>
  <c r="EG6" i="12" s="1"/>
  <c r="EH6" i="12" s="1"/>
  <c r="CF5" i="12"/>
  <c r="CT5" i="12" s="1"/>
  <c r="DC5" i="12" s="1"/>
  <c r="BX5" i="12"/>
  <c r="BV5" i="12"/>
  <c r="CC5" i="12" s="1"/>
  <c r="BU5" i="12"/>
  <c r="EM31" i="12"/>
  <c r="EG16" i="12"/>
  <c r="EH16" i="12" s="1"/>
  <c r="DE23" i="12"/>
  <c r="EH10" i="12"/>
  <c r="EH24" i="12"/>
  <c r="BZ14" i="12"/>
  <c r="CA14" i="12" s="1"/>
  <c r="CZ14" i="12"/>
  <c r="CO14" i="12"/>
  <c r="BZ21" i="12"/>
  <c r="CA21" i="12" s="1"/>
  <c r="CO21" i="12"/>
  <c r="CZ21" i="12"/>
  <c r="CY28" i="12"/>
  <c r="FH31" i="12"/>
  <c r="EE27" i="12"/>
  <c r="EG27" i="12" s="1"/>
  <c r="BX26" i="12"/>
  <c r="BV26" i="12"/>
  <c r="CC26" i="12" s="1"/>
  <c r="CF26" i="12"/>
  <c r="CT26" i="12" s="1"/>
  <c r="BU26" i="12"/>
  <c r="EO34" i="12"/>
  <c r="EH19" i="12"/>
  <c r="CY26" i="12"/>
  <c r="CZ25" i="12"/>
  <c r="CO25" i="12"/>
  <c r="BZ25" i="12"/>
  <c r="CA25" i="12" s="1"/>
  <c r="AH67" i="12"/>
  <c r="AG68" i="12"/>
  <c r="EH13" i="12"/>
  <c r="BY12" i="12"/>
  <c r="DE12" i="12"/>
  <c r="BY16" i="12"/>
  <c r="DE16" i="12"/>
  <c r="BY10" i="12"/>
  <c r="DE10" i="12"/>
  <c r="FJ31" i="12"/>
  <c r="CF28" i="12"/>
  <c r="CT28" i="12" s="1"/>
  <c r="EE29" i="12"/>
  <c r="BX28" i="12"/>
  <c r="BV28" i="12"/>
  <c r="CC28" i="12" s="1"/>
  <c r="BU28" i="12"/>
  <c r="CB28" i="12"/>
  <c r="CJ28" i="12" s="1"/>
  <c r="CZ17" i="12"/>
  <c r="BZ17" i="12"/>
  <c r="CA17" i="12" s="1"/>
  <c r="CO17" i="12"/>
  <c r="EH22" i="12"/>
  <c r="CO23" i="12"/>
  <c r="BZ23" i="12"/>
  <c r="CA23" i="12" s="1"/>
  <c r="CZ23" i="12"/>
  <c r="BZ6" i="12"/>
  <c r="CA6" i="12" s="1"/>
  <c r="CO6" i="12"/>
  <c r="CZ6" i="12"/>
  <c r="CO19" i="12"/>
  <c r="BZ19" i="12"/>
  <c r="CA19" i="12" s="1"/>
  <c r="CZ19" i="12"/>
  <c r="BZ18" i="12"/>
  <c r="CA18" i="12" s="1"/>
  <c r="CZ18" i="12"/>
  <c r="CO18" i="12"/>
  <c r="CZ29" i="12"/>
  <c r="CO29" i="12"/>
  <c r="H30" i="11"/>
  <c r="BY28" i="13" l="1"/>
  <c r="CL28" i="13"/>
  <c r="CW28" i="13"/>
  <c r="BD5" i="13"/>
  <c r="CB5" i="13"/>
  <c r="CG5" i="13"/>
  <c r="CA14" i="13"/>
  <c r="CG14" i="13" s="1"/>
  <c r="CP14" i="13" s="1"/>
  <c r="CA9" i="13"/>
  <c r="CG9" i="13" s="1"/>
  <c r="CP9" i="13" s="1"/>
  <c r="CP18" i="13"/>
  <c r="CA8" i="13"/>
  <c r="CG8" i="13" s="1"/>
  <c r="CP8" i="13" s="1"/>
  <c r="EO34" i="13"/>
  <c r="AG69" i="13"/>
  <c r="AH68" i="13"/>
  <c r="CP22" i="13"/>
  <c r="CO9" i="12"/>
  <c r="BZ7" i="12"/>
  <c r="CA7" i="12" s="1"/>
  <c r="BY27" i="12"/>
  <c r="CZ27" i="12" s="1"/>
  <c r="CO7" i="12"/>
  <c r="BZ9" i="12"/>
  <c r="CA9" i="12" s="1"/>
  <c r="CB9" i="12" s="1"/>
  <c r="CJ9" i="12" s="1"/>
  <c r="CS9" i="12" s="1"/>
  <c r="CO22" i="12"/>
  <c r="CZ15" i="12"/>
  <c r="BZ15" i="12"/>
  <c r="CA15" i="12" s="1"/>
  <c r="CB15" i="12" s="1"/>
  <c r="CJ15" i="12" s="1"/>
  <c r="CS15" i="12" s="1"/>
  <c r="BZ22" i="12"/>
  <c r="CA22" i="12" s="1"/>
  <c r="CB22" i="12" s="1"/>
  <c r="CJ22" i="12" s="1"/>
  <c r="BY20" i="12"/>
  <c r="CZ20" i="12" s="1"/>
  <c r="EG29" i="12"/>
  <c r="BZ27" i="12"/>
  <c r="CA27" i="12" s="1"/>
  <c r="CB27" i="12" s="1"/>
  <c r="CJ27" i="12" s="1"/>
  <c r="CS27" i="12" s="1"/>
  <c r="BY8" i="12"/>
  <c r="CZ8" i="12" s="1"/>
  <c r="CO27" i="12"/>
  <c r="BY24" i="12"/>
  <c r="CZ24" i="12" s="1"/>
  <c r="BY13" i="12"/>
  <c r="DE13" i="12"/>
  <c r="BY5" i="12"/>
  <c r="DE5" i="12"/>
  <c r="CO11" i="12"/>
  <c r="CZ11" i="12"/>
  <c r="BZ11" i="12"/>
  <c r="CA11" i="12" s="1"/>
  <c r="CS28" i="12"/>
  <c r="CB7" i="12"/>
  <c r="CJ7" i="12" s="1"/>
  <c r="CS7" i="12" s="1"/>
  <c r="CB25" i="12"/>
  <c r="CJ25" i="12" s="1"/>
  <c r="CB17" i="12"/>
  <c r="CJ17" i="12" s="1"/>
  <c r="EH27" i="12"/>
  <c r="AG69" i="12"/>
  <c r="AH68" i="12"/>
  <c r="CB19" i="12"/>
  <c r="CJ19" i="12" s="1"/>
  <c r="BZ12" i="12"/>
  <c r="CA12" i="12" s="1"/>
  <c r="CO12" i="12"/>
  <c r="CZ12" i="12"/>
  <c r="CO16" i="12"/>
  <c r="BZ16" i="12"/>
  <c r="CA16" i="12" s="1"/>
  <c r="CZ16" i="12"/>
  <c r="CB29" i="12"/>
  <c r="EP34" i="12"/>
  <c r="EH29" i="12"/>
  <c r="CB18" i="12"/>
  <c r="CJ18" i="12" s="1"/>
  <c r="BF6" i="12"/>
  <c r="D25" i="12" s="1"/>
  <c r="CB6" i="12"/>
  <c r="CJ6" i="12" s="1"/>
  <c r="CS6" i="12" s="1"/>
  <c r="CB14" i="12"/>
  <c r="CJ14" i="12" s="1"/>
  <c r="CS14" i="12" s="1"/>
  <c r="DE28" i="12"/>
  <c r="BY28" i="12"/>
  <c r="CB23" i="12"/>
  <c r="CJ23" i="12" s="1"/>
  <c r="CB21" i="12"/>
  <c r="CJ21" i="12" s="1"/>
  <c r="CS21" i="12" s="1"/>
  <c r="CO10" i="12"/>
  <c r="CZ10" i="12"/>
  <c r="BZ10" i="12"/>
  <c r="CA10" i="12" s="1"/>
  <c r="BY26" i="12"/>
  <c r="DE26" i="12"/>
  <c r="DM29" i="1"/>
  <c r="CP5" i="13" l="1"/>
  <c r="DA5" i="13" s="1"/>
  <c r="CH5" i="13"/>
  <c r="CR5" i="13" s="1"/>
  <c r="CS5" i="13" s="1"/>
  <c r="AH69" i="13"/>
  <c r="AG70" i="13"/>
  <c r="EO58" i="13"/>
  <c r="EJ10" i="13" s="1"/>
  <c r="EP34" i="13"/>
  <c r="BZ20" i="12"/>
  <c r="CA20" i="12" s="1"/>
  <c r="CB20" i="12" s="1"/>
  <c r="CJ20" i="12" s="1"/>
  <c r="CS20" i="12" s="1"/>
  <c r="CO8" i="12"/>
  <c r="CO24" i="12"/>
  <c r="BZ24" i="12"/>
  <c r="CA24" i="12" s="1"/>
  <c r="CB24" i="12" s="1"/>
  <c r="CJ24" i="12" s="1"/>
  <c r="CO20" i="12"/>
  <c r="BZ8" i="12"/>
  <c r="CA8" i="12" s="1"/>
  <c r="CB8" i="12" s="1"/>
  <c r="CJ8" i="12" s="1"/>
  <c r="CO13" i="12"/>
  <c r="CZ13" i="12"/>
  <c r="BZ13" i="12"/>
  <c r="CA13" i="12" s="1"/>
  <c r="CB13" i="12" s="1"/>
  <c r="CJ13" i="12" s="1"/>
  <c r="CS13" i="12" s="1"/>
  <c r="CB11" i="12"/>
  <c r="CJ11" i="12" s="1"/>
  <c r="CS11" i="12" s="1"/>
  <c r="CZ5" i="12"/>
  <c r="BZ5" i="12"/>
  <c r="CA5" i="12" s="1"/>
  <c r="CO5" i="12"/>
  <c r="CB16" i="12"/>
  <c r="CJ16" i="12" s="1"/>
  <c r="AG70" i="12"/>
  <c r="AH69" i="12"/>
  <c r="CS23" i="12"/>
  <c r="CO28" i="12"/>
  <c r="BZ28" i="12"/>
  <c r="CZ28" i="12"/>
  <c r="CS25" i="12"/>
  <c r="CB10" i="12"/>
  <c r="CJ10" i="12" s="1"/>
  <c r="CB12" i="12"/>
  <c r="CJ12" i="12" s="1"/>
  <c r="CO26" i="12"/>
  <c r="BZ26" i="12"/>
  <c r="CA26" i="12" s="1"/>
  <c r="CZ26" i="12"/>
  <c r="CS18" i="12"/>
  <c r="CS17" i="12"/>
  <c r="CS24" i="12"/>
  <c r="EQ34" i="12"/>
  <c r="CS22" i="12"/>
  <c r="CS19" i="12"/>
  <c r="AE3" i="10"/>
  <c r="DE10" i="10"/>
  <c r="FB22" i="10"/>
  <c r="DH5" i="13" l="1"/>
  <c r="DI5" i="13" s="1"/>
  <c r="DC5" i="13"/>
  <c r="CT5" i="13"/>
  <c r="CU5" i="13" s="1"/>
  <c r="AH70" i="13"/>
  <c r="AG71" i="13"/>
  <c r="EQ34" i="13"/>
  <c r="CS8" i="12"/>
  <c r="CB5" i="12"/>
  <c r="DX5" i="12"/>
  <c r="DY5" i="12" s="1"/>
  <c r="DZ5" i="12" s="1"/>
  <c r="BD5" i="12" s="1"/>
  <c r="BF5" i="12"/>
  <c r="CB26" i="12"/>
  <c r="CJ26" i="12" s="1"/>
  <c r="CS26" i="12" s="1"/>
  <c r="CS10" i="12"/>
  <c r="AG71" i="12"/>
  <c r="AH70" i="12"/>
  <c r="ER34" i="12"/>
  <c r="CS12" i="12"/>
  <c r="CS16" i="12"/>
  <c r="CD106" i="10"/>
  <c r="CB106" i="10"/>
  <c r="CE106" i="10" s="1"/>
  <c r="CD105" i="10"/>
  <c r="CB105" i="10"/>
  <c r="CE105" i="10" s="1"/>
  <c r="CD104" i="10"/>
  <c r="CB104" i="10"/>
  <c r="CE104" i="10" s="1"/>
  <c r="CD103" i="10"/>
  <c r="CB103" i="10"/>
  <c r="CE103" i="10" s="1"/>
  <c r="CD102" i="10"/>
  <c r="CB102" i="10"/>
  <c r="CE102" i="10" s="1"/>
  <c r="CD101" i="10"/>
  <c r="CB101" i="10"/>
  <c r="CE101" i="10" s="1"/>
  <c r="CD100" i="10"/>
  <c r="CB100" i="10"/>
  <c r="CE100" i="10" s="1"/>
  <c r="CD99" i="10"/>
  <c r="CB99" i="10"/>
  <c r="CE99" i="10" s="1"/>
  <c r="CD98" i="10"/>
  <c r="CB98" i="10"/>
  <c r="CE98" i="10" s="1"/>
  <c r="CD97" i="10"/>
  <c r="CB97" i="10"/>
  <c r="CE97" i="10" s="1"/>
  <c r="CD96" i="10"/>
  <c r="CB96" i="10"/>
  <c r="CE96" i="10" s="1"/>
  <c r="CD95" i="10"/>
  <c r="CB95" i="10"/>
  <c r="CE95" i="10" s="1"/>
  <c r="CD94" i="10"/>
  <c r="CB94" i="10"/>
  <c r="CE94" i="10" s="1"/>
  <c r="BW94" i="10"/>
  <c r="CD93" i="10"/>
  <c r="CB93" i="10"/>
  <c r="CE93" i="10" s="1"/>
  <c r="BW93" i="10"/>
  <c r="CD92" i="10"/>
  <c r="CB92" i="10"/>
  <c r="CE92" i="10" s="1"/>
  <c r="BW92" i="10"/>
  <c r="CD91" i="10"/>
  <c r="CB91" i="10"/>
  <c r="CE91" i="10" s="1"/>
  <c r="BW91" i="10"/>
  <c r="CD90" i="10"/>
  <c r="CB90" i="10"/>
  <c r="CE90" i="10" s="1"/>
  <c r="CD89" i="10"/>
  <c r="CB89" i="10"/>
  <c r="CE89" i="10" s="1"/>
  <c r="CE88" i="10"/>
  <c r="CD88" i="10"/>
  <c r="CC87" i="10"/>
  <c r="BU78" i="10"/>
  <c r="BR79" i="10" s="1"/>
  <c r="BR76" i="10"/>
  <c r="BP77" i="10" s="1"/>
  <c r="BR71" i="10"/>
  <c r="BP72" i="10" s="1"/>
  <c r="BP73" i="10" s="1"/>
  <c r="BW68" i="10"/>
  <c r="BW67" i="10"/>
  <c r="BW66" i="10"/>
  <c r="BW65" i="10"/>
  <c r="BW64" i="10"/>
  <c r="BW63" i="10"/>
  <c r="BW62" i="10"/>
  <c r="AG62" i="10"/>
  <c r="AG63" i="10" s="1"/>
  <c r="AG64" i="10" s="1"/>
  <c r="BW61" i="10"/>
  <c r="AH61" i="10"/>
  <c r="BW60" i="10"/>
  <c r="BW59" i="10"/>
  <c r="BW58" i="10"/>
  <c r="BW57" i="10"/>
  <c r="BW56" i="10"/>
  <c r="BW55" i="10"/>
  <c r="BW54" i="10"/>
  <c r="BW53" i="10"/>
  <c r="BQ42" i="10"/>
  <c r="B42" i="10"/>
  <c r="BQ41" i="10"/>
  <c r="B41" i="10"/>
  <c r="BA40" i="10"/>
  <c r="BP39" i="10"/>
  <c r="BQ39" i="10" s="1"/>
  <c r="AI39" i="10"/>
  <c r="AH39" i="10"/>
  <c r="AG39" i="10"/>
  <c r="B39" i="10"/>
  <c r="B37" i="10"/>
  <c r="B36" i="10"/>
  <c r="BP35" i="10"/>
  <c r="BQ35" i="10" s="1"/>
  <c r="B35" i="10"/>
  <c r="BP34" i="10"/>
  <c r="BQ34" i="10" s="1"/>
  <c r="BW38" i="10" s="1"/>
  <c r="B34" i="10"/>
  <c r="BP33" i="10"/>
  <c r="BQ33" i="10" s="1"/>
  <c r="BW37" i="10" s="1"/>
  <c r="BA33" i="10"/>
  <c r="B33" i="10"/>
  <c r="FH32" i="10"/>
  <c r="DQ27" i="10" s="1"/>
  <c r="FG32" i="10"/>
  <c r="DQ26" i="10" s="1"/>
  <c r="FF32" i="10"/>
  <c r="DQ25" i="10" s="1"/>
  <c r="FE32" i="10"/>
  <c r="DQ24" i="10" s="1"/>
  <c r="FD32" i="10"/>
  <c r="FC32" i="10"/>
  <c r="DQ22" i="10" s="1"/>
  <c r="FB32" i="10"/>
  <c r="DQ21" i="10" s="1"/>
  <c r="FA32" i="10"/>
  <c r="DQ20" i="10" s="1"/>
  <c r="EZ32" i="10"/>
  <c r="DQ19" i="10" s="1"/>
  <c r="EY32" i="10"/>
  <c r="DQ18" i="10" s="1"/>
  <c r="EX32" i="10"/>
  <c r="DQ17" i="10" s="1"/>
  <c r="EW32" i="10"/>
  <c r="DQ16" i="10" s="1"/>
  <c r="EV32" i="10"/>
  <c r="DQ15" i="10" s="1"/>
  <c r="EU32" i="10"/>
  <c r="DQ14" i="10" s="1"/>
  <c r="ET32" i="10"/>
  <c r="DQ13" i="10" s="1"/>
  <c r="ES32" i="10"/>
  <c r="ER32" i="10"/>
  <c r="DQ11" i="10" s="1"/>
  <c r="EQ32" i="10"/>
  <c r="DQ10" i="10" s="1"/>
  <c r="EP32" i="10"/>
  <c r="DQ9" i="10" s="1"/>
  <c r="EO32" i="10"/>
  <c r="DQ8" i="10" s="1"/>
  <c r="EN32" i="10"/>
  <c r="DQ7" i="10" s="1"/>
  <c r="EM32" i="10"/>
  <c r="DQ6" i="10" s="1"/>
  <c r="EL32" i="10"/>
  <c r="EK32" i="10"/>
  <c r="DQ4" i="10" s="1"/>
  <c r="BW32" i="10"/>
  <c r="BW33" i="10" s="1"/>
  <c r="BP32" i="10"/>
  <c r="BQ32" i="10" s="1"/>
  <c r="BQ63" i="10" s="1"/>
  <c r="BA32" i="10"/>
  <c r="BP31" i="10"/>
  <c r="BQ31" i="10" s="1"/>
  <c r="CO25" i="10" s="1"/>
  <c r="CP25" i="10" s="1"/>
  <c r="BA31" i="10"/>
  <c r="BQ28" i="10" s="1"/>
  <c r="BR28" i="10" s="1"/>
  <c r="B31" i="10"/>
  <c r="BP30" i="10"/>
  <c r="BQ30" i="10" s="1"/>
  <c r="BQ54" i="10" s="1"/>
  <c r="CM29" i="10"/>
  <c r="BZ29" i="10"/>
  <c r="BP29" i="10"/>
  <c r="BQ29" i="10" s="1"/>
  <c r="CZ23" i="10" s="1"/>
  <c r="DM28" i="10"/>
  <c r="BA28" i="10"/>
  <c r="BA27" i="10"/>
  <c r="DU27" i="10" s="1"/>
  <c r="BA26" i="10"/>
  <c r="BA25" i="10"/>
  <c r="BA24" i="10"/>
  <c r="DU24" i="10" s="1"/>
  <c r="DQ23" i="10"/>
  <c r="BA23" i="10"/>
  <c r="BA22" i="10"/>
  <c r="BA21" i="10"/>
  <c r="AE21" i="10" s="1"/>
  <c r="BA20" i="10"/>
  <c r="AE20" i="10" s="1"/>
  <c r="BA19" i="10"/>
  <c r="BA18" i="10"/>
  <c r="AE18" i="10" s="1"/>
  <c r="BQ17" i="10"/>
  <c r="BR17" i="10" s="1"/>
  <c r="BA17" i="10"/>
  <c r="AE17" i="10" s="1"/>
  <c r="BA16" i="10"/>
  <c r="BA15" i="10"/>
  <c r="AE15" i="10" s="1"/>
  <c r="BS14" i="10"/>
  <c r="BT14" i="10" s="1"/>
  <c r="BA14" i="10"/>
  <c r="BA13" i="10"/>
  <c r="AE13" i="10" s="1"/>
  <c r="DQ12" i="10"/>
  <c r="BA12" i="10"/>
  <c r="DU12" i="10" s="1"/>
  <c r="BA11" i="10"/>
  <c r="AE11" i="10" s="1"/>
  <c r="BA10" i="10"/>
  <c r="BA9" i="10"/>
  <c r="AE9" i="10" s="1"/>
  <c r="BA8" i="10"/>
  <c r="AE8" i="10" s="1"/>
  <c r="BA7" i="10"/>
  <c r="AE7" i="10" s="1"/>
  <c r="BA6" i="10"/>
  <c r="AE6" i="10" s="1"/>
  <c r="DQ5" i="10"/>
  <c r="BA5" i="10"/>
  <c r="BP5" i="10" s="1"/>
  <c r="BA4" i="10"/>
  <c r="AE4" i="10" s="1"/>
  <c r="BE3" i="10"/>
  <c r="BE5" i="13" l="1"/>
  <c r="BV5" i="13"/>
  <c r="DX7" i="13"/>
  <c r="DK5" i="13"/>
  <c r="DO5" i="13" s="1"/>
  <c r="DQ5" i="13" s="1"/>
  <c r="DR5" i="13" s="1"/>
  <c r="AG72" i="13"/>
  <c r="AH71" i="13"/>
  <c r="ER34" i="13"/>
  <c r="CJ5" i="12"/>
  <c r="CS5" i="12" s="1"/>
  <c r="DD5" i="12" s="1"/>
  <c r="CE5" i="12"/>
  <c r="CK5" i="12" s="1"/>
  <c r="CU5" i="12" s="1"/>
  <c r="CV5" i="12" s="1"/>
  <c r="CW5" i="12" s="1"/>
  <c r="ES34" i="12"/>
  <c r="ER58" i="12"/>
  <c r="EM10" i="12" s="1"/>
  <c r="AG72" i="12"/>
  <c r="AH71" i="12"/>
  <c r="CE10" i="10"/>
  <c r="CF10" i="10" s="1"/>
  <c r="BQ8" i="10"/>
  <c r="BR8" i="10" s="1"/>
  <c r="ED8" i="10" s="1"/>
  <c r="BQ13" i="10"/>
  <c r="BR13" i="10" s="1"/>
  <c r="ED13" i="10" s="1"/>
  <c r="CE6" i="10"/>
  <c r="CF6" i="10" s="1"/>
  <c r="CJ6" i="10" s="1"/>
  <c r="CK6" i="10" s="1"/>
  <c r="CL6" i="10" s="1"/>
  <c r="BS21" i="10"/>
  <c r="BT21" i="10" s="1"/>
  <c r="BV21" i="10" s="1"/>
  <c r="BQ24" i="10"/>
  <c r="BR24" i="10" s="1"/>
  <c r="CE25" i="10"/>
  <c r="CF25" i="10" s="1"/>
  <c r="CG25" i="10" s="1"/>
  <c r="BQ5" i="10"/>
  <c r="BR5" i="10" s="1"/>
  <c r="CE16" i="10"/>
  <c r="CF16" i="10" s="1"/>
  <c r="CE9" i="10"/>
  <c r="CF9" i="10" s="1"/>
  <c r="CG9" i="10" s="1"/>
  <c r="BQ11" i="10"/>
  <c r="BR11" i="10" s="1"/>
  <c r="BQ15" i="10"/>
  <c r="BR15" i="10" s="1"/>
  <c r="CO16" i="10"/>
  <c r="CP16" i="10" s="1"/>
  <c r="CE18" i="10"/>
  <c r="CF18" i="10" s="1"/>
  <c r="BQ20" i="10"/>
  <c r="BR20" i="10" s="1"/>
  <c r="BQ26" i="10"/>
  <c r="BR26" i="10" s="1"/>
  <c r="CE19" i="10"/>
  <c r="CF19" i="10" s="1"/>
  <c r="CG19" i="10" s="1"/>
  <c r="BQ12" i="10"/>
  <c r="BR12" i="10" s="1"/>
  <c r="BS13" i="10"/>
  <c r="BT13" i="10" s="1"/>
  <c r="BV13" i="10" s="1"/>
  <c r="CE21" i="10"/>
  <c r="CF21" i="10" s="1"/>
  <c r="CG21" i="10" s="1"/>
  <c r="CW21" i="10" s="1"/>
  <c r="CE23" i="10"/>
  <c r="CF23" i="10" s="1"/>
  <c r="BS24" i="10"/>
  <c r="CA24" i="10" s="1"/>
  <c r="BQ4" i="10"/>
  <c r="BR4" i="10" s="1"/>
  <c r="CE7" i="10"/>
  <c r="CF7" i="10" s="1"/>
  <c r="CJ7" i="10" s="1"/>
  <c r="CK7" i="10" s="1"/>
  <c r="CL7" i="10" s="1"/>
  <c r="DF4" i="10"/>
  <c r="EK33" i="10" s="1"/>
  <c r="BS11" i="10"/>
  <c r="BT11" i="10" s="1"/>
  <c r="BQ14" i="10"/>
  <c r="BR14" i="10" s="1"/>
  <c r="ED14" i="10" s="1"/>
  <c r="BS15" i="10"/>
  <c r="BT15" i="10" s="1"/>
  <c r="CD15" i="10" s="1"/>
  <c r="BQ22" i="10"/>
  <c r="BR22" i="10" s="1"/>
  <c r="BS25" i="10"/>
  <c r="CA25" i="10" s="1"/>
  <c r="CB25" i="10" s="1"/>
  <c r="CO7" i="10"/>
  <c r="CP7" i="10" s="1"/>
  <c r="CO10" i="10"/>
  <c r="CP10" i="10" s="1"/>
  <c r="BQ27" i="10"/>
  <c r="BR27" i="10" s="1"/>
  <c r="ED28" i="10" s="1"/>
  <c r="BS27" i="10"/>
  <c r="CA27" i="10" s="1"/>
  <c r="CB27" i="10" s="1"/>
  <c r="CO26" i="10"/>
  <c r="CP26" i="10" s="1"/>
  <c r="EJ45" i="10"/>
  <c r="AE16" i="10"/>
  <c r="EJ55" i="10"/>
  <c r="AE26" i="10"/>
  <c r="EJ39" i="10"/>
  <c r="AE10" i="10"/>
  <c r="BP16" i="10"/>
  <c r="EJ48" i="10"/>
  <c r="AE19" i="10"/>
  <c r="EJ52" i="10"/>
  <c r="AE23" i="10"/>
  <c r="BS4" i="10"/>
  <c r="BS5" i="10"/>
  <c r="BT5" i="10" s="1"/>
  <c r="BX5" i="10" s="1"/>
  <c r="BQ6" i="10"/>
  <c r="BR6" i="10" s="1"/>
  <c r="BQ7" i="10"/>
  <c r="BR7" i="10" s="1"/>
  <c r="BS8" i="10"/>
  <c r="BT8" i="10" s="1"/>
  <c r="BV8" i="10" s="1"/>
  <c r="BQ9" i="10"/>
  <c r="BR9" i="10" s="1"/>
  <c r="BQ10" i="10"/>
  <c r="BR10" i="10" s="1"/>
  <c r="CE11" i="10"/>
  <c r="CF11" i="10" s="1"/>
  <c r="BS12" i="10"/>
  <c r="BT12" i="10" s="1"/>
  <c r="BV12" i="10" s="1"/>
  <c r="CE13" i="10"/>
  <c r="CF13" i="10" s="1"/>
  <c r="CG13" i="10" s="1"/>
  <c r="CE14" i="10"/>
  <c r="CF14" i="10" s="1"/>
  <c r="CG14" i="10" s="1"/>
  <c r="CE15" i="10"/>
  <c r="CF15" i="10" s="1"/>
  <c r="CG15" i="10" s="1"/>
  <c r="CW15" i="10" s="1"/>
  <c r="BQ16" i="10"/>
  <c r="BR16" i="10" s="1"/>
  <c r="BS17" i="10"/>
  <c r="BT17" i="10" s="1"/>
  <c r="EC18" i="10" s="1"/>
  <c r="BQ18" i="10"/>
  <c r="BR18" i="10" s="1"/>
  <c r="BQ19" i="10"/>
  <c r="BR19" i="10" s="1"/>
  <c r="BS20" i="10"/>
  <c r="BT20" i="10" s="1"/>
  <c r="EC21" i="10" s="1"/>
  <c r="BS22" i="10"/>
  <c r="BT22" i="10" s="1"/>
  <c r="BV22" i="10" s="1"/>
  <c r="BQ23" i="10"/>
  <c r="BR23" i="10" s="1"/>
  <c r="ED24" i="10" s="1"/>
  <c r="DU23" i="10"/>
  <c r="CE24" i="10"/>
  <c r="CF24" i="10" s="1"/>
  <c r="CJ24" i="10" s="1"/>
  <c r="CK24" i="10" s="1"/>
  <c r="EJ54" i="10"/>
  <c r="AE25" i="10"/>
  <c r="BS26" i="10"/>
  <c r="CA26" i="10" s="1"/>
  <c r="CB26" i="10" s="1"/>
  <c r="DU26" i="10"/>
  <c r="DU28" i="10"/>
  <c r="AE28" i="10"/>
  <c r="AH62" i="10"/>
  <c r="CE4" i="10"/>
  <c r="CF4" i="10" s="1"/>
  <c r="CJ4" i="10" s="1"/>
  <c r="CK4" i="10" s="1"/>
  <c r="EJ34" i="10"/>
  <c r="AE5" i="10"/>
  <c r="CE5" i="10"/>
  <c r="CF5" i="10" s="1"/>
  <c r="CJ5" i="10" s="1"/>
  <c r="CK5" i="10" s="1"/>
  <c r="BS6" i="10"/>
  <c r="BT6" i="10" s="1"/>
  <c r="CD6" i="10" s="1"/>
  <c r="BS7" i="10"/>
  <c r="BT7" i="10" s="1"/>
  <c r="BV7" i="10" s="1"/>
  <c r="CE8" i="10"/>
  <c r="CF8" i="10" s="1"/>
  <c r="CG8" i="10" s="1"/>
  <c r="BS9" i="10"/>
  <c r="BT9" i="10" s="1"/>
  <c r="BV9" i="10" s="1"/>
  <c r="BS10" i="10"/>
  <c r="BT10" i="10" s="1"/>
  <c r="CD10" i="10" s="1"/>
  <c r="CR10" i="10" s="1"/>
  <c r="EJ41" i="10"/>
  <c r="AE12" i="10"/>
  <c r="CE12" i="10"/>
  <c r="CF12" i="10" s="1"/>
  <c r="CG12" i="10" s="1"/>
  <c r="EJ43" i="10"/>
  <c r="AE14" i="10"/>
  <c r="BS16" i="10"/>
  <c r="BT16" i="10" s="1"/>
  <c r="BX16" i="10" s="1"/>
  <c r="CE17" i="10"/>
  <c r="CF17" i="10" s="1"/>
  <c r="CG17" i="10" s="1"/>
  <c r="BS18" i="10"/>
  <c r="BT18" i="10" s="1"/>
  <c r="BX18" i="10" s="1"/>
  <c r="BS19" i="10"/>
  <c r="BT19" i="10" s="1"/>
  <c r="EZ30" i="10" s="1"/>
  <c r="DU19" i="10"/>
  <c r="CE20" i="10"/>
  <c r="CF20" i="10" s="1"/>
  <c r="CG20" i="10" s="1"/>
  <c r="CW20" i="10" s="1"/>
  <c r="BQ21" i="10"/>
  <c r="BR21" i="10" s="1"/>
  <c r="EJ51" i="10"/>
  <c r="AE22" i="10"/>
  <c r="CE22" i="10"/>
  <c r="CF22" i="10" s="1"/>
  <c r="CJ22" i="10" s="1"/>
  <c r="CK22" i="10" s="1"/>
  <c r="BS23" i="10"/>
  <c r="BT23" i="10" s="1"/>
  <c r="FD30" i="10" s="1"/>
  <c r="EJ53" i="10"/>
  <c r="AE24" i="10"/>
  <c r="BQ25" i="10"/>
  <c r="BR25" i="10" s="1"/>
  <c r="DU25" i="10"/>
  <c r="CE26" i="10"/>
  <c r="CF26" i="10" s="1"/>
  <c r="CJ26" i="10" s="1"/>
  <c r="CK26" i="10" s="1"/>
  <c r="EJ56" i="10"/>
  <c r="AE27" i="10"/>
  <c r="CE27" i="10"/>
  <c r="CF27" i="10" s="1"/>
  <c r="CJ27" i="10" s="1"/>
  <c r="CK27" i="10" s="1"/>
  <c r="BP79" i="10"/>
  <c r="CO5" i="10"/>
  <c r="CP5" i="10" s="1"/>
  <c r="CO6" i="10"/>
  <c r="CP6" i="10" s="1"/>
  <c r="CO4" i="10"/>
  <c r="CP4" i="10" s="1"/>
  <c r="CO9" i="10"/>
  <c r="CP9" i="10" s="1"/>
  <c r="CO18" i="10"/>
  <c r="CP18" i="10" s="1"/>
  <c r="CO19" i="10"/>
  <c r="CP19" i="10" s="1"/>
  <c r="CO20" i="10"/>
  <c r="CP20" i="10" s="1"/>
  <c r="CO21" i="10"/>
  <c r="CP21" i="10" s="1"/>
  <c r="CO23" i="10"/>
  <c r="CP23" i="10" s="1"/>
  <c r="CO28" i="10"/>
  <c r="CP28" i="10" s="1"/>
  <c r="CO14" i="10"/>
  <c r="CP14" i="10" s="1"/>
  <c r="CO8" i="10"/>
  <c r="CP8" i="10" s="1"/>
  <c r="CO11" i="10"/>
  <c r="CP11" i="10" s="1"/>
  <c r="CO12" i="10"/>
  <c r="CP12" i="10" s="1"/>
  <c r="CO13" i="10"/>
  <c r="CP13" i="10" s="1"/>
  <c r="CO15" i="10"/>
  <c r="CP15" i="10" s="1"/>
  <c r="CO17" i="10"/>
  <c r="CP17" i="10" s="1"/>
  <c r="CO22" i="10"/>
  <c r="CP22" i="10" s="1"/>
  <c r="CO24" i="10"/>
  <c r="CP24" i="10" s="1"/>
  <c r="BP14" i="10"/>
  <c r="EJ4" i="10"/>
  <c r="DU10" i="10"/>
  <c r="BP12" i="10"/>
  <c r="DU16" i="10"/>
  <c r="BP22" i="10"/>
  <c r="BP10" i="10"/>
  <c r="DU14" i="10"/>
  <c r="BP19" i="10"/>
  <c r="BP23" i="10"/>
  <c r="BP24" i="10"/>
  <c r="BP25" i="10"/>
  <c r="BT25" i="10"/>
  <c r="FF30" i="10" s="1"/>
  <c r="BP26" i="10"/>
  <c r="BP27" i="10"/>
  <c r="BP28" i="10"/>
  <c r="DU22" i="10"/>
  <c r="CD16" i="10"/>
  <c r="CR16" i="10" s="1"/>
  <c r="CZ16" i="10"/>
  <c r="CZ4" i="10"/>
  <c r="CZ6" i="10"/>
  <c r="CZ20" i="10"/>
  <c r="CZ25" i="10"/>
  <c r="CZ12" i="10"/>
  <c r="CZ13" i="10"/>
  <c r="CZ14" i="10"/>
  <c r="CZ15" i="10"/>
  <c r="CZ17" i="10"/>
  <c r="CZ22" i="10"/>
  <c r="CZ26" i="10"/>
  <c r="CZ27" i="10"/>
  <c r="CZ7" i="10"/>
  <c r="CZ9" i="10"/>
  <c r="CG11" i="10"/>
  <c r="CW11" i="10" s="1"/>
  <c r="CZ21" i="10"/>
  <c r="CZ24" i="10"/>
  <c r="CZ5" i="10"/>
  <c r="CZ8" i="10"/>
  <c r="CZ18" i="10"/>
  <c r="CZ19" i="10"/>
  <c r="DG4" i="10"/>
  <c r="DH4" i="10" s="1"/>
  <c r="CZ10" i="10"/>
  <c r="CZ11" i="10"/>
  <c r="EJ33" i="10"/>
  <c r="DU4" i="10"/>
  <c r="BP4" i="10"/>
  <c r="EJ35" i="10"/>
  <c r="DU6" i="10"/>
  <c r="BP6" i="10"/>
  <c r="EJ36" i="10"/>
  <c r="DU7" i="10"/>
  <c r="BP7" i="10"/>
  <c r="CJ8" i="10"/>
  <c r="CK8" i="10" s="1"/>
  <c r="EJ40" i="10"/>
  <c r="BP11" i="10"/>
  <c r="DU11" i="10"/>
  <c r="EM30" i="10"/>
  <c r="EJ37" i="10"/>
  <c r="DU8" i="10"/>
  <c r="BP8" i="10"/>
  <c r="CG10" i="10"/>
  <c r="EJ38" i="10"/>
  <c r="DU9" i="10"/>
  <c r="BP9" i="10"/>
  <c r="EU30" i="10"/>
  <c r="CD14" i="10"/>
  <c r="BV14" i="10"/>
  <c r="BX14" i="10"/>
  <c r="EC15" i="10"/>
  <c r="DU5" i="10"/>
  <c r="CG16" i="10"/>
  <c r="BU14" i="10"/>
  <c r="EJ44" i="10"/>
  <c r="BP15" i="10"/>
  <c r="DU15" i="10"/>
  <c r="ED18" i="10"/>
  <c r="EE18" i="10" s="1"/>
  <c r="EJ49" i="10"/>
  <c r="DU20" i="10"/>
  <c r="BP20" i="10"/>
  <c r="AH64" i="10"/>
  <c r="AG65" i="10"/>
  <c r="EJ46" i="10"/>
  <c r="BP17" i="10"/>
  <c r="EJ47" i="10"/>
  <c r="DU18" i="10"/>
  <c r="BP18" i="10"/>
  <c r="EJ50" i="10"/>
  <c r="BP21" i="10"/>
  <c r="DU21" i="10"/>
  <c r="EX30" i="10"/>
  <c r="BX17" i="10"/>
  <c r="CG23" i="10"/>
  <c r="EK58" i="10"/>
  <c r="EK59" i="10" s="1"/>
  <c r="EL5" i="10" s="1"/>
  <c r="EL33" i="10"/>
  <c r="EJ42" i="10"/>
  <c r="DU13" i="10"/>
  <c r="BP13" i="10"/>
  <c r="EC17" i="10"/>
  <c r="DU17" i="10"/>
  <c r="CG18" i="10"/>
  <c r="CJ23" i="10"/>
  <c r="CK23" i="10" s="1"/>
  <c r="CD21" i="10"/>
  <c r="BQ53" i="10"/>
  <c r="BQ56" i="10" s="1"/>
  <c r="BQ57" i="10" s="1"/>
  <c r="BZ32" i="10"/>
  <c r="BZ33" i="10" s="1"/>
  <c r="CZ28" i="10"/>
  <c r="BZ30" i="10"/>
  <c r="BZ31" i="10" s="1"/>
  <c r="BQ62" i="10"/>
  <c r="BQ65" i="10" s="1"/>
  <c r="BQ66" i="10" s="1"/>
  <c r="BQ67" i="10" s="1"/>
  <c r="CO27" i="10"/>
  <c r="CP27" i="10" s="1"/>
  <c r="AH63" i="10"/>
  <c r="EC14" i="10" l="1"/>
  <c r="CD18" i="10"/>
  <c r="CR18" i="10" s="1"/>
  <c r="CD13" i="10"/>
  <c r="BU11" i="10"/>
  <c r="EC12" i="10"/>
  <c r="DJ5" i="13"/>
  <c r="DE6" i="13"/>
  <c r="DS5" i="13"/>
  <c r="BB5" i="13" s="1"/>
  <c r="ES34" i="13"/>
  <c r="AH72" i="13"/>
  <c r="AG73" i="13"/>
  <c r="CJ25" i="10"/>
  <c r="CK25" i="10" s="1"/>
  <c r="CL25" i="10" s="1"/>
  <c r="BV11" i="10"/>
  <c r="EC11" i="10"/>
  <c r="CD11" i="10"/>
  <c r="CR11" i="10" s="1"/>
  <c r="EQ30" i="10"/>
  <c r="BT27" i="10"/>
  <c r="BX11" i="10"/>
  <c r="ER30" i="10"/>
  <c r="ED23" i="10"/>
  <c r="ED9" i="10"/>
  <c r="BV16" i="10"/>
  <c r="CX5" i="12"/>
  <c r="BE5" i="12"/>
  <c r="BW5" i="12"/>
  <c r="EA7" i="12"/>
  <c r="ED7" i="12" s="1"/>
  <c r="BF7" i="12" s="1"/>
  <c r="E25" i="12" s="1"/>
  <c r="DF5" i="12"/>
  <c r="DK5" i="12"/>
  <c r="DL5" i="12" s="1"/>
  <c r="EC22" i="10"/>
  <c r="BX21" i="10"/>
  <c r="FB30" i="10"/>
  <c r="ED22" i="10"/>
  <c r="EE22" i="10" s="1"/>
  <c r="EF22" i="10" s="1"/>
  <c r="BU21" i="10"/>
  <c r="DC21" i="10" s="1"/>
  <c r="CG4" i="10"/>
  <c r="CW4" i="10" s="1"/>
  <c r="BB4" i="10"/>
  <c r="AG73" i="12"/>
  <c r="AH72" i="12"/>
  <c r="ET34" i="12"/>
  <c r="ED6" i="10"/>
  <c r="BV15" i="10"/>
  <c r="BT24" i="10"/>
  <c r="BU24" i="10" s="1"/>
  <c r="EL30" i="10"/>
  <c r="BV5" i="10"/>
  <c r="CD23" i="10"/>
  <c r="CR23" i="10" s="1"/>
  <c r="ED27" i="10"/>
  <c r="BU5" i="10"/>
  <c r="BY5" i="10" s="1"/>
  <c r="ED19" i="10"/>
  <c r="ED10" i="10"/>
  <c r="ED20" i="10"/>
  <c r="ED12" i="10"/>
  <c r="EE12" i="10" s="1"/>
  <c r="EF12" i="10" s="1"/>
  <c r="BU13" i="10"/>
  <c r="DC13" i="10" s="1"/>
  <c r="EC16" i="10"/>
  <c r="CG6" i="10"/>
  <c r="ED21" i="10"/>
  <c r="EE21" i="10" s="1"/>
  <c r="BU17" i="10"/>
  <c r="BY17" i="10" s="1"/>
  <c r="BV17" i="10"/>
  <c r="EV30" i="10"/>
  <c r="BX13" i="10"/>
  <c r="ET30" i="10"/>
  <c r="BX10" i="10"/>
  <c r="CD5" i="10"/>
  <c r="EC6" i="10"/>
  <c r="BU16" i="10"/>
  <c r="DC16" i="10" s="1"/>
  <c r="BU15" i="10"/>
  <c r="BY15" i="10" s="1"/>
  <c r="BZ15" i="10" s="1"/>
  <c r="CA15" i="10" s="1"/>
  <c r="CR6" i="10"/>
  <c r="CD17" i="10"/>
  <c r="CR17" i="10" s="1"/>
  <c r="BV10" i="10"/>
  <c r="ED5" i="10"/>
  <c r="CD22" i="10"/>
  <c r="CR22" i="10" s="1"/>
  <c r="BX15" i="10"/>
  <c r="ED15" i="10"/>
  <c r="EE15" i="10" s="1"/>
  <c r="CG7" i="10"/>
  <c r="CW7" i="10" s="1"/>
  <c r="ED26" i="10"/>
  <c r="CR21" i="10"/>
  <c r="ED7" i="10"/>
  <c r="EW30" i="10"/>
  <c r="CD9" i="10"/>
  <c r="CR9" i="10" s="1"/>
  <c r="BX9" i="10"/>
  <c r="ED16" i="10"/>
  <c r="EE16" i="10" s="1"/>
  <c r="EP30" i="10"/>
  <c r="FH30" i="10"/>
  <c r="BU27" i="10"/>
  <c r="DC27" i="10" s="1"/>
  <c r="BV27" i="10"/>
  <c r="CD27" i="10"/>
  <c r="CR27" i="10" s="1"/>
  <c r="CL24" i="10"/>
  <c r="CL23" i="10"/>
  <c r="CL5" i="10"/>
  <c r="CL27" i="10"/>
  <c r="CL26" i="10"/>
  <c r="CL4" i="10"/>
  <c r="CL8" i="10"/>
  <c r="CL22" i="10"/>
  <c r="BV6" i="10"/>
  <c r="CD8" i="10"/>
  <c r="CR8" i="10" s="1"/>
  <c r="EC13" i="10"/>
  <c r="EE13" i="10" s="1"/>
  <c r="FC30" i="10"/>
  <c r="BU8" i="10"/>
  <c r="DC8" i="10" s="1"/>
  <c r="BX6" i="10"/>
  <c r="BX8" i="10"/>
  <c r="BV23" i="10"/>
  <c r="BU22" i="10"/>
  <c r="BY22" i="10" s="1"/>
  <c r="EC23" i="10"/>
  <c r="EE23" i="10" s="1"/>
  <c r="BU6" i="10"/>
  <c r="BY6" i="10" s="1"/>
  <c r="CD7" i="10"/>
  <c r="CR7" i="10" s="1"/>
  <c r="BT26" i="10"/>
  <c r="BX22" i="10"/>
  <c r="EY30" i="10"/>
  <c r="CD19" i="10"/>
  <c r="CR19" i="10" s="1"/>
  <c r="EC7" i="10"/>
  <c r="BX7" i="10"/>
  <c r="EC24" i="10"/>
  <c r="EE24" i="10" s="1"/>
  <c r="EF24" i="10" s="1"/>
  <c r="BU18" i="10"/>
  <c r="BY18" i="10" s="1"/>
  <c r="BU19" i="10"/>
  <c r="BY19" i="10" s="1"/>
  <c r="EC19" i="10"/>
  <c r="EC20" i="10"/>
  <c r="CR13" i="10"/>
  <c r="EC8" i="10"/>
  <c r="EE8" i="10" s="1"/>
  <c r="ED17" i="10"/>
  <c r="EE17" i="10" s="1"/>
  <c r="EF17" i="10" s="1"/>
  <c r="BV18" i="10"/>
  <c r="BY21" i="10"/>
  <c r="CM21" i="10" s="1"/>
  <c r="CR5" i="10"/>
  <c r="CR15" i="10"/>
  <c r="FA30" i="10"/>
  <c r="BU23" i="10"/>
  <c r="DC23" i="10" s="1"/>
  <c r="BU10" i="10"/>
  <c r="DC10" i="10" s="1"/>
  <c r="CG26" i="10"/>
  <c r="CH26" i="10" s="1"/>
  <c r="CG22" i="10"/>
  <c r="CW22" i="10" s="1"/>
  <c r="CD20" i="10"/>
  <c r="CR20" i="10" s="1"/>
  <c r="CD12" i="10"/>
  <c r="CR12" i="10" s="1"/>
  <c r="BX23" i="10"/>
  <c r="ED25" i="10"/>
  <c r="CG24" i="10"/>
  <c r="CW24" i="10" s="1"/>
  <c r="BV19" i="10"/>
  <c r="BX20" i="10"/>
  <c r="CG5" i="10"/>
  <c r="CW5" i="10" s="1"/>
  <c r="CR14" i="10"/>
  <c r="BU12" i="10"/>
  <c r="BY12" i="10" s="1"/>
  <c r="BU9" i="10"/>
  <c r="DC9" i="10" s="1"/>
  <c r="EC10" i="10"/>
  <c r="ED11" i="10"/>
  <c r="EE11" i="10" s="1"/>
  <c r="EC9" i="10"/>
  <c r="EE9" i="10" s="1"/>
  <c r="EO30" i="10"/>
  <c r="BU7" i="10"/>
  <c r="DC7" i="10" s="1"/>
  <c r="EN30" i="10"/>
  <c r="CG27" i="10"/>
  <c r="CW27" i="10" s="1"/>
  <c r="BU20" i="10"/>
  <c r="DC20" i="10" s="1"/>
  <c r="BV20" i="10"/>
  <c r="ES30" i="10"/>
  <c r="BX12" i="10"/>
  <c r="BX19" i="10"/>
  <c r="BT4" i="10"/>
  <c r="EK30" i="10" s="1"/>
  <c r="BX25" i="10"/>
  <c r="CD25" i="10"/>
  <c r="CR25" i="10" s="1"/>
  <c r="BU25" i="10"/>
  <c r="DC25" i="10" s="1"/>
  <c r="BV25" i="10"/>
  <c r="EC26" i="10"/>
  <c r="EF18" i="10"/>
  <c r="EM33" i="10"/>
  <c r="CW23" i="10"/>
  <c r="CH25" i="10"/>
  <c r="CW25" i="10"/>
  <c r="DC14" i="10"/>
  <c r="BY14" i="10"/>
  <c r="CW8" i="10"/>
  <c r="FE30" i="10"/>
  <c r="EC25" i="10"/>
  <c r="EE25" i="10" s="1"/>
  <c r="CD24" i="10"/>
  <c r="CR24" i="10" s="1"/>
  <c r="BX24" i="10"/>
  <c r="BV24" i="10"/>
  <c r="AG66" i="10"/>
  <c r="AH65" i="10"/>
  <c r="CW16" i="10"/>
  <c r="CW9" i="10"/>
  <c r="BX66" i="10"/>
  <c r="BX61" i="10"/>
  <c r="BX58" i="10"/>
  <c r="BX54" i="10"/>
  <c r="BX53" i="10"/>
  <c r="BX65" i="10"/>
  <c r="BX59" i="10"/>
  <c r="BX55" i="10"/>
  <c r="BX64" i="10"/>
  <c r="BX63" i="10"/>
  <c r="BQ58" i="10"/>
  <c r="BX57" i="10"/>
  <c r="BX68" i="10"/>
  <c r="BX67" i="10"/>
  <c r="BX62" i="10"/>
  <c r="BX60" i="10"/>
  <c r="BQ59" i="10"/>
  <c r="BX56" i="10"/>
  <c r="DC24" i="10"/>
  <c r="BY24" i="10"/>
  <c r="CB24" i="10"/>
  <c r="CW18" i="10"/>
  <c r="CW17" i="10"/>
  <c r="EE14" i="10"/>
  <c r="CW13" i="10"/>
  <c r="CW12" i="10"/>
  <c r="CW6" i="10"/>
  <c r="CW19" i="10"/>
  <c r="CW14" i="10"/>
  <c r="DC11" i="10"/>
  <c r="BY11" i="10"/>
  <c r="CW10" i="10"/>
  <c r="K36" i="3"/>
  <c r="BZ21" i="10" l="1"/>
  <c r="CA21" i="10" s="1"/>
  <c r="CX15" i="10"/>
  <c r="CM15" i="10"/>
  <c r="BY25" i="10"/>
  <c r="BY20" i="10"/>
  <c r="CB6" i="13"/>
  <c r="CH6" i="13" s="1"/>
  <c r="CR6" i="13" s="1"/>
  <c r="CS6" i="13" s="1"/>
  <c r="CT6" i="13" s="1"/>
  <c r="BA6" i="13"/>
  <c r="D23" i="13" s="1"/>
  <c r="DU6" i="13"/>
  <c r="DV6" i="13" s="1"/>
  <c r="CZ6" i="13"/>
  <c r="DA6" i="13" s="1"/>
  <c r="DC6" i="13" s="1"/>
  <c r="DF6" i="13"/>
  <c r="ET34" i="13"/>
  <c r="AG74" i="13"/>
  <c r="AH73" i="13"/>
  <c r="BX27" i="10"/>
  <c r="EC28" i="10"/>
  <c r="EE28" i="10" s="1"/>
  <c r="EF28" i="10" s="1"/>
  <c r="EE7" i="10"/>
  <c r="EF7" i="10" s="1"/>
  <c r="EE26" i="10"/>
  <c r="EF26" i="10" s="1"/>
  <c r="EE6" i="10"/>
  <c r="EF6" i="10" s="1"/>
  <c r="DC15" i="10"/>
  <c r="EE10" i="10"/>
  <c r="EF10" i="10" s="1"/>
  <c r="EE20" i="10"/>
  <c r="BY8" i="10"/>
  <c r="CX8" i="10" s="1"/>
  <c r="DN5" i="12"/>
  <c r="DR5" i="12" s="1"/>
  <c r="DT5" i="12" s="1"/>
  <c r="DU5" i="12" s="1"/>
  <c r="DC22" i="10"/>
  <c r="DC5" i="10"/>
  <c r="BY27" i="10"/>
  <c r="CX27" i="10" s="1"/>
  <c r="DC12" i="10"/>
  <c r="EU34" i="12"/>
  <c r="AH73" i="12"/>
  <c r="AG74" i="12"/>
  <c r="DC19" i="10"/>
  <c r="BY13" i="10"/>
  <c r="BZ13" i="10" s="1"/>
  <c r="CA13" i="10" s="1"/>
  <c r="EE19" i="10"/>
  <c r="EF19" i="10" s="1"/>
  <c r="DC17" i="10"/>
  <c r="BY16" i="10"/>
  <c r="BY7" i="10"/>
  <c r="BZ7" i="10" s="1"/>
  <c r="CA7" i="10" s="1"/>
  <c r="BY10" i="10"/>
  <c r="BZ10" i="10" s="1"/>
  <c r="CA10" i="10" s="1"/>
  <c r="DC6" i="10"/>
  <c r="DC18" i="10"/>
  <c r="CX21" i="10"/>
  <c r="EC5" i="10"/>
  <c r="EE5" i="10" s="1"/>
  <c r="EF5" i="10" s="1"/>
  <c r="CH24" i="10"/>
  <c r="CQ24" i="10" s="1"/>
  <c r="BV4" i="10"/>
  <c r="BU4" i="10"/>
  <c r="BY4" i="10" s="1"/>
  <c r="CM4" i="10" s="1"/>
  <c r="CD4" i="10"/>
  <c r="CR4" i="10" s="1"/>
  <c r="DA4" i="10" s="1"/>
  <c r="BY23" i="10"/>
  <c r="BZ23" i="10" s="1"/>
  <c r="CA23" i="10" s="1"/>
  <c r="CB23" i="10" s="1"/>
  <c r="CH23" i="10" s="1"/>
  <c r="BU26" i="10"/>
  <c r="EC27" i="10"/>
  <c r="EE27" i="10" s="1"/>
  <c r="EF27" i="10" s="1"/>
  <c r="FG30" i="10"/>
  <c r="BV26" i="10"/>
  <c r="BX26" i="10"/>
  <c r="CD26" i="10"/>
  <c r="CR26" i="10" s="1"/>
  <c r="CW26" i="10"/>
  <c r="CH27" i="10"/>
  <c r="CQ27" i="10" s="1"/>
  <c r="BX4" i="10"/>
  <c r="BY9" i="10"/>
  <c r="CX9" i="10" s="1"/>
  <c r="DJ4" i="10"/>
  <c r="BZ11" i="10"/>
  <c r="CA11" i="10" s="1"/>
  <c r="CM11" i="10"/>
  <c r="CX11" i="10"/>
  <c r="EF14" i="10"/>
  <c r="EF23" i="10"/>
  <c r="CB21" i="10"/>
  <c r="CH21" i="10" s="1"/>
  <c r="CQ21" i="10" s="1"/>
  <c r="BZ17" i="10"/>
  <c r="CA17" i="10" s="1"/>
  <c r="CX17" i="10"/>
  <c r="CM17" i="10"/>
  <c r="BZ18" i="10"/>
  <c r="CA18" i="10" s="1"/>
  <c r="CX18" i="10"/>
  <c r="CM18" i="10"/>
  <c r="CQ25" i="10"/>
  <c r="EF8" i="10"/>
  <c r="CM5" i="10"/>
  <c r="CX5" i="10"/>
  <c r="BZ5" i="10"/>
  <c r="CA5" i="10" s="1"/>
  <c r="EF16" i="10"/>
  <c r="CQ26" i="10"/>
  <c r="BZ8" i="10"/>
  <c r="CA8" i="10" s="1"/>
  <c r="CM8" i="10"/>
  <c r="EF13" i="10"/>
  <c r="CM22" i="10"/>
  <c r="CX22" i="10"/>
  <c r="BZ22" i="10"/>
  <c r="CA22" i="10" s="1"/>
  <c r="EF9" i="10"/>
  <c r="CB15" i="10"/>
  <c r="CH15" i="10" s="1"/>
  <c r="CQ15" i="10" s="1"/>
  <c r="CX19" i="10"/>
  <c r="BZ19" i="10"/>
  <c r="CA19" i="10" s="1"/>
  <c r="CM19" i="10"/>
  <c r="CM25" i="10"/>
  <c r="CX25" i="10"/>
  <c r="BZ25" i="10"/>
  <c r="CB13" i="10"/>
  <c r="CH13" i="10" s="1"/>
  <c r="CQ13" i="10" s="1"/>
  <c r="CX14" i="10"/>
  <c r="CM14" i="10"/>
  <c r="BZ14" i="10"/>
  <c r="CA14" i="10" s="1"/>
  <c r="EF21" i="10"/>
  <c r="EF20" i="10"/>
  <c r="CM12" i="10"/>
  <c r="CX12" i="10"/>
  <c r="BZ12" i="10"/>
  <c r="CA12" i="10" s="1"/>
  <c r="EF11" i="10"/>
  <c r="CX24" i="10"/>
  <c r="CM24" i="10"/>
  <c r="BZ24" i="10"/>
  <c r="BZ6" i="10"/>
  <c r="CA6" i="10" s="1"/>
  <c r="CX6" i="10"/>
  <c r="CM6" i="10"/>
  <c r="EF15" i="10"/>
  <c r="AG67" i="10"/>
  <c r="AH66" i="10"/>
  <c r="CX20" i="10"/>
  <c r="CM20" i="10"/>
  <c r="BZ20" i="10"/>
  <c r="CA20" i="10" s="1"/>
  <c r="EF25" i="10"/>
  <c r="EN33" i="10"/>
  <c r="E5" i="8"/>
  <c r="E6" i="8" s="1"/>
  <c r="E7" i="8" s="1"/>
  <c r="E8" i="8" s="1"/>
  <c r="E9" i="8" s="1"/>
  <c r="E10" i="8" s="1"/>
  <c r="E11" i="8" s="1"/>
  <c r="F5" i="8"/>
  <c r="F6" i="8" s="1"/>
  <c r="F7" i="8" s="1"/>
  <c r="F8" i="8" s="1"/>
  <c r="F9" i="8" s="1"/>
  <c r="F10" i="8" s="1"/>
  <c r="F11" i="8" s="1"/>
  <c r="G5" i="8"/>
  <c r="G6" i="8" s="1"/>
  <c r="G7" i="8" s="1"/>
  <c r="G8" i="8" s="1"/>
  <c r="G9" i="8" s="1"/>
  <c r="G10" i="8" s="1"/>
  <c r="G11" i="8" s="1"/>
  <c r="H5" i="8"/>
  <c r="H6" i="8" s="1"/>
  <c r="H7" i="8" s="1"/>
  <c r="H8" i="8" s="1"/>
  <c r="H9" i="8" s="1"/>
  <c r="H10" i="8" s="1"/>
  <c r="H11" i="8" s="1"/>
  <c r="D6" i="8"/>
  <c r="D7" i="8" s="1"/>
  <c r="D8" i="8" s="1"/>
  <c r="D9" i="8" s="1"/>
  <c r="D10" i="8" s="1"/>
  <c r="D11" i="8" s="1"/>
  <c r="BZ27" i="10" l="1"/>
  <c r="CM27" i="10"/>
  <c r="CX13" i="10"/>
  <c r="CM13" i="10"/>
  <c r="DG6" i="13"/>
  <c r="DH6" i="13" s="1"/>
  <c r="EF6" i="13"/>
  <c r="EG6" i="13" s="1"/>
  <c r="DM6" i="13" s="1"/>
  <c r="DW6" i="13"/>
  <c r="EU34" i="13"/>
  <c r="AG75" i="13"/>
  <c r="AH74" i="13"/>
  <c r="BV6" i="13"/>
  <c r="BE6" i="13"/>
  <c r="DX8" i="13"/>
  <c r="CU6" i="13"/>
  <c r="DM5" i="12"/>
  <c r="DH6" i="12"/>
  <c r="DV5" i="12"/>
  <c r="BB5" i="12" s="1"/>
  <c r="CM7" i="10"/>
  <c r="CX7" i="10"/>
  <c r="CM10" i="10"/>
  <c r="CM23" i="10"/>
  <c r="CX10" i="10"/>
  <c r="AG75" i="12"/>
  <c r="AH74" i="12"/>
  <c r="EV34" i="12"/>
  <c r="CM9" i="10"/>
  <c r="CX23" i="10"/>
  <c r="BZ16" i="10"/>
  <c r="CA16" i="10" s="1"/>
  <c r="CB16" i="10" s="1"/>
  <c r="CH16" i="10" s="1"/>
  <c r="CM16" i="10"/>
  <c r="CX16" i="10"/>
  <c r="BZ4" i="10"/>
  <c r="CA4" i="10"/>
  <c r="CX4" i="10"/>
  <c r="DC4" i="10"/>
  <c r="BY26" i="10"/>
  <c r="DC26" i="10"/>
  <c r="BZ9" i="10"/>
  <c r="CA9" i="10" s="1"/>
  <c r="CB9" i="10" s="1"/>
  <c r="CH9" i="10" s="1"/>
  <c r="CQ9" i="10" s="1"/>
  <c r="CB12" i="10"/>
  <c r="CH12" i="10" s="1"/>
  <c r="CB18" i="10"/>
  <c r="CH18" i="10" s="1"/>
  <c r="CQ18" i="10" s="1"/>
  <c r="CB6" i="10"/>
  <c r="CH6" i="10" s="1"/>
  <c r="CB19" i="10"/>
  <c r="CH19" i="10" s="1"/>
  <c r="CQ19" i="10" s="1"/>
  <c r="CB22" i="10"/>
  <c r="CH22" i="10" s="1"/>
  <c r="CB8" i="10"/>
  <c r="CH8" i="10" s="1"/>
  <c r="CB10" i="10"/>
  <c r="CH10" i="10" s="1"/>
  <c r="EO33" i="10"/>
  <c r="BG5" i="10"/>
  <c r="D24" i="10" s="1"/>
  <c r="CB5" i="10"/>
  <c r="CH5" i="10" s="1"/>
  <c r="CQ5" i="10" s="1"/>
  <c r="CB20" i="10"/>
  <c r="CH20" i="10" s="1"/>
  <c r="CQ20" i="10" s="1"/>
  <c r="AG68" i="10"/>
  <c r="AH67" i="10"/>
  <c r="CQ23" i="10"/>
  <c r="CB17" i="10"/>
  <c r="CH17" i="10" s="1"/>
  <c r="CB14" i="10"/>
  <c r="CH14" i="10" s="1"/>
  <c r="CQ14" i="10" s="1"/>
  <c r="CB7" i="10"/>
  <c r="CH7" i="10" s="1"/>
  <c r="CB11" i="10"/>
  <c r="CH11" i="10" s="1"/>
  <c r="CQ11" i="10" s="1"/>
  <c r="DL4" i="10"/>
  <c r="DP4" i="10" s="1"/>
  <c r="BA29" i="1"/>
  <c r="BP29" i="1" s="1"/>
  <c r="BD6" i="13" l="1"/>
  <c r="DY7" i="13"/>
  <c r="EI6" i="13"/>
  <c r="EK35" i="13" s="1"/>
  <c r="DI6" i="13"/>
  <c r="AH75" i="13"/>
  <c r="AG76" i="13"/>
  <c r="EV34" i="13"/>
  <c r="CQ16" i="10"/>
  <c r="BA6" i="12"/>
  <c r="D23" i="12" s="1"/>
  <c r="DC6" i="12"/>
  <c r="DD6" i="12" s="1"/>
  <c r="DF6" i="12" s="1"/>
  <c r="DX6" i="12"/>
  <c r="DY6" i="12" s="1"/>
  <c r="DI6" i="12"/>
  <c r="DJ6" i="12" s="1"/>
  <c r="DK6" i="12" s="1"/>
  <c r="EL6" i="12" s="1"/>
  <c r="EN35" i="12" s="1"/>
  <c r="CE6" i="12"/>
  <c r="CK6" i="12" s="1"/>
  <c r="CU6" i="12" s="1"/>
  <c r="CV6" i="12" s="1"/>
  <c r="CW6" i="12" s="1"/>
  <c r="CX6" i="12" s="1"/>
  <c r="AH75" i="12"/>
  <c r="AG76" i="12"/>
  <c r="EW34" i="12"/>
  <c r="DV4" i="10"/>
  <c r="DW4" i="10" s="1"/>
  <c r="DX4" i="10" s="1"/>
  <c r="BE4" i="10" s="1"/>
  <c r="CB4" i="10"/>
  <c r="BG4" i="10"/>
  <c r="C24" i="10" s="1"/>
  <c r="BZ26" i="10"/>
  <c r="CM26" i="10"/>
  <c r="CX26" i="10"/>
  <c r="DR4" i="10"/>
  <c r="DS4" i="10" s="1"/>
  <c r="CQ8" i="10"/>
  <c r="EP33" i="10"/>
  <c r="DK4" i="10"/>
  <c r="CQ7" i="10"/>
  <c r="CQ17" i="10"/>
  <c r="AH68" i="10"/>
  <c r="AG69" i="10"/>
  <c r="CQ10" i="10"/>
  <c r="CQ22" i="10"/>
  <c r="CQ6" i="10"/>
  <c r="CQ12" i="10"/>
  <c r="EA7" i="13" l="1"/>
  <c r="DK6" i="13"/>
  <c r="EK59" i="13"/>
  <c r="EK60" i="13" s="1"/>
  <c r="EK7" i="13" s="1"/>
  <c r="EL35" i="13"/>
  <c r="EM35" i="13" s="1"/>
  <c r="EN35" i="13" s="1"/>
  <c r="EO35" i="13" s="1"/>
  <c r="EP35" i="13" s="1"/>
  <c r="EW34" i="13"/>
  <c r="AG77" i="13"/>
  <c r="AH76" i="13"/>
  <c r="BW6" i="12"/>
  <c r="DL6" i="12"/>
  <c r="DN6" i="12" s="1"/>
  <c r="DM6" i="12" s="1"/>
  <c r="DZ6" i="12"/>
  <c r="BD6" i="12" s="1"/>
  <c r="EI6" i="12"/>
  <c r="EJ6" i="12" s="1"/>
  <c r="DP6" i="12" s="1"/>
  <c r="EN59" i="12"/>
  <c r="EN60" i="12" s="1"/>
  <c r="EN7" i="12" s="1"/>
  <c r="EO35" i="12"/>
  <c r="EP35" i="12" s="1"/>
  <c r="EQ35" i="12" s="1"/>
  <c r="ER35" i="12" s="1"/>
  <c r="EA8" i="12"/>
  <c r="ED8" i="12" s="1"/>
  <c r="BE6" i="12"/>
  <c r="EX34" i="12"/>
  <c r="AG77" i="12"/>
  <c r="AH76" i="12"/>
  <c r="CC4" i="10"/>
  <c r="CI4" i="10" s="1"/>
  <c r="CS4" i="10" s="1"/>
  <c r="CT4" i="10" s="1"/>
  <c r="CH4" i="10"/>
  <c r="DF5" i="10"/>
  <c r="DT4" i="10"/>
  <c r="BC4" i="10" s="1"/>
  <c r="AG70" i="10"/>
  <c r="AH69" i="10"/>
  <c r="EP57" i="10"/>
  <c r="EK9" i="10" s="1"/>
  <c r="EQ33" i="10"/>
  <c r="C34" i="1"/>
  <c r="BF7" i="13" l="1"/>
  <c r="E25" i="13" s="1"/>
  <c r="DJ6" i="13"/>
  <c r="EQ35" i="13"/>
  <c r="EP58" i="13"/>
  <c r="EJ11" i="13" s="1"/>
  <c r="AG78" i="13"/>
  <c r="AH77" i="13"/>
  <c r="EX34" i="13"/>
  <c r="BF8" i="12"/>
  <c r="F25" i="12" s="1"/>
  <c r="AG78" i="12"/>
  <c r="AH77" i="12"/>
  <c r="EY34" i="12"/>
  <c r="ES35" i="12"/>
  <c r="CQ4" i="10"/>
  <c r="DB4" i="10" s="1"/>
  <c r="DD4" i="10" s="1"/>
  <c r="CU4" i="10"/>
  <c r="CV4" i="10" s="1"/>
  <c r="DV5" i="10"/>
  <c r="DW5" i="10" s="1"/>
  <c r="DA5" i="10"/>
  <c r="DB5" i="10" s="1"/>
  <c r="DD5" i="10" s="1"/>
  <c r="CC5" i="10"/>
  <c r="BB5" i="10"/>
  <c r="DG5" i="10"/>
  <c r="DH5" i="10" s="1"/>
  <c r="ER33" i="10"/>
  <c r="AG71" i="10"/>
  <c r="AH70" i="10"/>
  <c r="BA34" i="1"/>
  <c r="H9" i="3" s="1"/>
  <c r="BA33" i="1"/>
  <c r="BA32" i="1"/>
  <c r="BA6" i="1"/>
  <c r="D13" i="3" s="1"/>
  <c r="L13" i="3" s="1"/>
  <c r="BA7" i="1"/>
  <c r="D14" i="3" s="1"/>
  <c r="L14" i="3" s="1"/>
  <c r="BA8" i="1"/>
  <c r="D15" i="3" s="1"/>
  <c r="L15" i="3" s="1"/>
  <c r="BA9" i="1"/>
  <c r="D16" i="3" s="1"/>
  <c r="L16" i="3" s="1"/>
  <c r="BA10" i="1"/>
  <c r="D17" i="3" s="1"/>
  <c r="L17" i="3" s="1"/>
  <c r="BA11" i="1"/>
  <c r="D18" i="3" s="1"/>
  <c r="L18" i="3" s="1"/>
  <c r="BA12" i="1"/>
  <c r="D19" i="3" s="1"/>
  <c r="L19" i="3" s="1"/>
  <c r="BA13" i="1"/>
  <c r="D20" i="3" s="1"/>
  <c r="L20" i="3" s="1"/>
  <c r="BA14" i="1"/>
  <c r="D21" i="3" s="1"/>
  <c r="L21" i="3" s="1"/>
  <c r="BA15" i="1"/>
  <c r="D22" i="3" s="1"/>
  <c r="L22" i="3" s="1"/>
  <c r="BA16" i="1"/>
  <c r="D23" i="3" s="1"/>
  <c r="L23" i="3" s="1"/>
  <c r="BA17" i="1"/>
  <c r="D24" i="3" s="1"/>
  <c r="L24" i="3" s="1"/>
  <c r="BA18" i="1"/>
  <c r="D25" i="3" s="1"/>
  <c r="L25" i="3" s="1"/>
  <c r="BA19" i="1"/>
  <c r="D26" i="3" s="1"/>
  <c r="L26" i="3" s="1"/>
  <c r="BA20" i="1"/>
  <c r="D27" i="3" s="1"/>
  <c r="L27" i="3" s="1"/>
  <c r="BA21" i="1"/>
  <c r="D28" i="3" s="1"/>
  <c r="L28" i="3" s="1"/>
  <c r="BA22" i="1"/>
  <c r="D29" i="3" s="1"/>
  <c r="L29" i="3" s="1"/>
  <c r="BA23" i="1"/>
  <c r="D30" i="3" s="1"/>
  <c r="L30" i="3" s="1"/>
  <c r="BA24" i="1"/>
  <c r="D31" i="3" s="1"/>
  <c r="L31" i="3" s="1"/>
  <c r="BA25" i="1"/>
  <c r="D32" i="3" s="1"/>
  <c r="L32" i="3" s="1"/>
  <c r="BA26" i="1"/>
  <c r="D33" i="3" s="1"/>
  <c r="L33" i="3" s="1"/>
  <c r="BA27" i="1"/>
  <c r="D34" i="3" s="1"/>
  <c r="L34" i="3" s="1"/>
  <c r="BA28" i="1"/>
  <c r="D35" i="3" s="1"/>
  <c r="L35" i="3" s="1"/>
  <c r="BA5" i="1"/>
  <c r="D12" i="3" s="1"/>
  <c r="L12" i="3" s="1"/>
  <c r="DM1" i="1" l="1"/>
  <c r="E13" i="3"/>
  <c r="E21" i="3"/>
  <c r="E29" i="3"/>
  <c r="E26" i="3"/>
  <c r="E14" i="3"/>
  <c r="E22" i="3"/>
  <c r="E30" i="3"/>
  <c r="E33" i="3"/>
  <c r="E18" i="3"/>
  <c r="E15" i="3"/>
  <c r="E23" i="3"/>
  <c r="E31" i="3"/>
  <c r="E34" i="3"/>
  <c r="E16" i="3"/>
  <c r="E24" i="3"/>
  <c r="E32" i="3"/>
  <c r="E25" i="3"/>
  <c r="E17" i="3"/>
  <c r="E19" i="3"/>
  <c r="E27" i="3"/>
  <c r="E35" i="3"/>
  <c r="E20" i="3"/>
  <c r="E28" i="3"/>
  <c r="ER35" i="13"/>
  <c r="AH78" i="13"/>
  <c r="AG79" i="13"/>
  <c r="EY34" i="13"/>
  <c r="EZ34" i="12"/>
  <c r="ET35" i="12"/>
  <c r="ES58" i="12"/>
  <c r="EM11" i="12" s="1"/>
  <c r="AG79" i="12"/>
  <c r="AH78" i="12"/>
  <c r="BW4" i="10"/>
  <c r="BF4" i="10"/>
  <c r="DY6" i="10"/>
  <c r="DE5" i="10"/>
  <c r="CI5" i="10"/>
  <c r="CS5" i="10" s="1"/>
  <c r="CT5" i="10" s="1"/>
  <c r="AH71" i="10"/>
  <c r="AG72" i="10"/>
  <c r="ES33" i="10"/>
  <c r="D22" i="10"/>
  <c r="DX5" i="10"/>
  <c r="BE5" i="10" s="1"/>
  <c r="EG5" i="10"/>
  <c r="EH5" i="10" s="1"/>
  <c r="DN5" i="10" s="1"/>
  <c r="E12" i="3"/>
  <c r="C43" i="1"/>
  <c r="C42" i="1"/>
  <c r="C40" i="1"/>
  <c r="C38" i="1"/>
  <c r="C37" i="1"/>
  <c r="C36" i="1"/>
  <c r="C35" i="1"/>
  <c r="C32" i="1"/>
  <c r="E36" i="3" l="1"/>
  <c r="DO11" i="12"/>
  <c r="DL11" i="13"/>
  <c r="DO25" i="12"/>
  <c r="DL25" i="13"/>
  <c r="DO26" i="12"/>
  <c r="DL26" i="13"/>
  <c r="DO8" i="12"/>
  <c r="BC8" i="12" s="1"/>
  <c r="F24" i="12" s="1"/>
  <c r="DL8" i="13"/>
  <c r="DO18" i="12"/>
  <c r="DL18" i="13"/>
  <c r="DO28" i="12"/>
  <c r="DL28" i="13"/>
  <c r="DO13" i="12"/>
  <c r="DL13" i="13"/>
  <c r="DO22" i="12"/>
  <c r="DL22" i="13"/>
  <c r="DO6" i="12"/>
  <c r="BC6" i="12" s="1"/>
  <c r="D24" i="12" s="1"/>
  <c r="DL6" i="13"/>
  <c r="DO15" i="12"/>
  <c r="DL15" i="13"/>
  <c r="DO10" i="12"/>
  <c r="DL10" i="13"/>
  <c r="DO19" i="12"/>
  <c r="DL19" i="13"/>
  <c r="DO12" i="12"/>
  <c r="DL12" i="13"/>
  <c r="DO27" i="12"/>
  <c r="DL27" i="13"/>
  <c r="DO20" i="12"/>
  <c r="DL20" i="13"/>
  <c r="DO9" i="12"/>
  <c r="DL9" i="13"/>
  <c r="DO5" i="12"/>
  <c r="BC5" i="12" s="1"/>
  <c r="DL5" i="13"/>
  <c r="DO17" i="12"/>
  <c r="DL17" i="13"/>
  <c r="DO23" i="12"/>
  <c r="DL23" i="13"/>
  <c r="DO21" i="12"/>
  <c r="DL21" i="13"/>
  <c r="DO16" i="12"/>
  <c r="DL16" i="13"/>
  <c r="DO7" i="12"/>
  <c r="BC7" i="12" s="1"/>
  <c r="E24" i="12" s="1"/>
  <c r="DL7" i="13"/>
  <c r="BC7" i="13" s="1"/>
  <c r="E24" i="13" s="1"/>
  <c r="DO24" i="12"/>
  <c r="DL24" i="13"/>
  <c r="DO14" i="12"/>
  <c r="DL14" i="13"/>
  <c r="EZ34" i="13"/>
  <c r="ES35" i="13"/>
  <c r="AG80" i="13"/>
  <c r="AH79" i="13"/>
  <c r="EU35" i="12"/>
  <c r="FA34" i="12"/>
  <c r="AG80" i="12"/>
  <c r="AH79" i="12"/>
  <c r="DM14" i="10"/>
  <c r="DM9" i="10"/>
  <c r="DM18" i="10"/>
  <c r="DM17" i="10"/>
  <c r="DM20" i="10"/>
  <c r="DM26" i="10"/>
  <c r="DM27" i="10"/>
  <c r="DM6" i="10"/>
  <c r="DM15" i="10"/>
  <c r="DM23" i="10"/>
  <c r="DM24" i="10"/>
  <c r="DM13" i="10"/>
  <c r="DM22" i="10"/>
  <c r="DM7" i="10"/>
  <c r="DM5" i="10"/>
  <c r="BD5" i="10" s="1"/>
  <c r="D23" i="10" s="1"/>
  <c r="DM8" i="10"/>
  <c r="DM4" i="10"/>
  <c r="BD4" i="10" s="1"/>
  <c r="DM16" i="10"/>
  <c r="DM19" i="10"/>
  <c r="DM25" i="10"/>
  <c r="DM12" i="10"/>
  <c r="DM10" i="10"/>
  <c r="DM21" i="10"/>
  <c r="DM11" i="10"/>
  <c r="ET33" i="10"/>
  <c r="AG73" i="10"/>
  <c r="AH72" i="10"/>
  <c r="EJ5" i="10"/>
  <c r="EL34" i="10" s="1"/>
  <c r="DJ5" i="10"/>
  <c r="EM33" i="1"/>
  <c r="DQ7" i="1" s="1"/>
  <c r="EN33" i="1"/>
  <c r="DQ8" i="1" s="1"/>
  <c r="EO33" i="1"/>
  <c r="DQ9" i="1" s="1"/>
  <c r="EP33" i="1"/>
  <c r="DQ10" i="1" s="1"/>
  <c r="EQ33" i="1"/>
  <c r="DQ11" i="1" s="1"/>
  <c r="ER33" i="1"/>
  <c r="DQ12" i="1" s="1"/>
  <c r="ES33" i="1"/>
  <c r="DQ13" i="1" s="1"/>
  <c r="ET33" i="1"/>
  <c r="DQ14" i="1" s="1"/>
  <c r="EU33" i="1"/>
  <c r="DQ15" i="1" s="1"/>
  <c r="EV33" i="1"/>
  <c r="DQ16" i="1" s="1"/>
  <c r="EW33" i="1"/>
  <c r="DQ17" i="1" s="1"/>
  <c r="EX33" i="1"/>
  <c r="DQ18" i="1" s="1"/>
  <c r="EY33" i="1"/>
  <c r="DQ19" i="1" s="1"/>
  <c r="EZ33" i="1"/>
  <c r="DQ20" i="1" s="1"/>
  <c r="FA33" i="1"/>
  <c r="DQ21" i="1" s="1"/>
  <c r="FB33" i="1"/>
  <c r="DQ22" i="1" s="1"/>
  <c r="FC33" i="1"/>
  <c r="DQ23" i="1" s="1"/>
  <c r="FD33" i="1"/>
  <c r="DQ24" i="1" s="1"/>
  <c r="FE33" i="1"/>
  <c r="DQ25" i="1" s="1"/>
  <c r="FF33" i="1"/>
  <c r="DQ26" i="1" s="1"/>
  <c r="FG33" i="1"/>
  <c r="DQ27" i="1" s="1"/>
  <c r="FH33" i="1"/>
  <c r="DQ28" i="1" s="1"/>
  <c r="EL33" i="1"/>
  <c r="DQ6" i="1" s="1"/>
  <c r="EK33" i="1"/>
  <c r="CU5" i="10"/>
  <c r="DQ6" i="12" l="1"/>
  <c r="DR6" i="12" s="1"/>
  <c r="DT6" i="12" s="1"/>
  <c r="DU6" i="12" s="1"/>
  <c r="DV6" i="12" s="1"/>
  <c r="BB6" i="12" s="1"/>
  <c r="DO30" i="12"/>
  <c r="BC5" i="13"/>
  <c r="DL30" i="13"/>
  <c r="BC6" i="13"/>
  <c r="D24" i="13" s="1"/>
  <c r="DN6" i="13"/>
  <c r="DO6" i="13" s="1"/>
  <c r="DQ6" i="13" s="1"/>
  <c r="DR6" i="13" s="1"/>
  <c r="CI7" i="13"/>
  <c r="CJ7" i="13" s="1"/>
  <c r="CK7" i="13" s="1"/>
  <c r="AG81" i="13"/>
  <c r="AH80" i="13"/>
  <c r="ET35" i="13"/>
  <c r="FA34" i="13"/>
  <c r="DO5" i="10"/>
  <c r="FB34" i="12"/>
  <c r="EV35" i="12"/>
  <c r="AG81" i="12"/>
  <c r="AH80" i="12"/>
  <c r="DM29" i="10"/>
  <c r="DL5" i="10"/>
  <c r="EM34" i="10"/>
  <c r="EL58" i="10"/>
  <c r="EL59" i="10" s="1"/>
  <c r="EL6" i="10" s="1"/>
  <c r="AG74" i="10"/>
  <c r="AH73" i="10"/>
  <c r="BW5" i="10"/>
  <c r="BF5" i="10"/>
  <c r="DY7" i="10"/>
  <c r="EU33" i="10"/>
  <c r="CV5" i="10"/>
  <c r="DQ5" i="1"/>
  <c r="DH7" i="12" l="1"/>
  <c r="DX7" i="12" s="1"/>
  <c r="DY7" i="12" s="1"/>
  <c r="DP5" i="10"/>
  <c r="DR5" i="10" s="1"/>
  <c r="DS5" i="10" s="1"/>
  <c r="DS6" i="13"/>
  <c r="BB6" i="13" s="1"/>
  <c r="DE7" i="13"/>
  <c r="DY8" i="13"/>
  <c r="FB34" i="13"/>
  <c r="EU35" i="13"/>
  <c r="AG82" i="13"/>
  <c r="AH81" i="13"/>
  <c r="AG82" i="12"/>
  <c r="AH81" i="12"/>
  <c r="FC34" i="12"/>
  <c r="EW35" i="12"/>
  <c r="EN34" i="10"/>
  <c r="EV33" i="10"/>
  <c r="AH74" i="10"/>
  <c r="AG75" i="10"/>
  <c r="DK5" i="10"/>
  <c r="DM15" i="1"/>
  <c r="DM19" i="1"/>
  <c r="DM23" i="1"/>
  <c r="DM16" i="1"/>
  <c r="DM20" i="1"/>
  <c r="DM24" i="1"/>
  <c r="DM17" i="1"/>
  <c r="DM21" i="1"/>
  <c r="DM25" i="1"/>
  <c r="DM18" i="1"/>
  <c r="DM22" i="1"/>
  <c r="DF5" i="1"/>
  <c r="E30" i="11" s="1"/>
  <c r="CD107" i="1"/>
  <c r="CB107" i="1"/>
  <c r="CE107" i="1" s="1"/>
  <c r="CD106" i="1"/>
  <c r="CB106" i="1"/>
  <c r="CE106" i="1" s="1"/>
  <c r="CD105" i="1"/>
  <c r="CB105" i="1"/>
  <c r="CE105" i="1" s="1"/>
  <c r="CD104" i="1"/>
  <c r="CB104" i="1"/>
  <c r="CE104" i="1" s="1"/>
  <c r="CD103" i="1"/>
  <c r="CB103" i="1"/>
  <c r="CE103" i="1" s="1"/>
  <c r="CD102" i="1"/>
  <c r="CB102" i="1"/>
  <c r="CE102" i="1" s="1"/>
  <c r="CD101" i="1"/>
  <c r="CB101" i="1"/>
  <c r="CE101" i="1" s="1"/>
  <c r="CD100" i="1"/>
  <c r="CB100" i="1"/>
  <c r="CE100" i="1" s="1"/>
  <c r="CD99" i="1"/>
  <c r="CB99" i="1"/>
  <c r="CE99" i="1" s="1"/>
  <c r="CD98" i="1"/>
  <c r="CB98" i="1"/>
  <c r="CE98" i="1" s="1"/>
  <c r="CD97" i="1"/>
  <c r="CB97" i="1"/>
  <c r="CE97" i="1" s="1"/>
  <c r="CD96" i="1"/>
  <c r="CB96" i="1"/>
  <c r="CE96" i="1" s="1"/>
  <c r="CD95" i="1"/>
  <c r="CB95" i="1"/>
  <c r="CE95" i="1" s="1"/>
  <c r="BW95" i="1"/>
  <c r="CD94" i="1"/>
  <c r="CB94" i="1"/>
  <c r="CE94" i="1" s="1"/>
  <c r="BW94" i="1"/>
  <c r="CD93" i="1"/>
  <c r="CB93" i="1"/>
  <c r="CE93" i="1" s="1"/>
  <c r="BW93" i="1"/>
  <c r="CD92" i="1"/>
  <c r="CB92" i="1"/>
  <c r="CE92" i="1" s="1"/>
  <c r="BW92" i="1"/>
  <c r="CD91" i="1"/>
  <c r="CB91" i="1"/>
  <c r="CE91" i="1" s="1"/>
  <c r="CD90" i="1"/>
  <c r="CB90" i="1"/>
  <c r="CE90" i="1" s="1"/>
  <c r="CE89" i="1"/>
  <c r="CD89" i="1"/>
  <c r="CC88" i="1"/>
  <c r="BU79" i="1"/>
  <c r="BR80" i="1" s="1"/>
  <c r="BR77" i="1"/>
  <c r="BP78" i="1" s="1"/>
  <c r="BR72" i="1"/>
  <c r="BP73" i="1" s="1"/>
  <c r="BP74" i="1" s="1"/>
  <c r="BW69" i="1"/>
  <c r="BW68" i="1"/>
  <c r="BW67" i="1"/>
  <c r="BW66" i="1"/>
  <c r="BW65" i="1"/>
  <c r="BW64" i="1"/>
  <c r="BW63" i="1"/>
  <c r="AH72" i="1"/>
  <c r="AI72" i="1" s="1"/>
  <c r="BW62" i="1"/>
  <c r="AI71" i="1"/>
  <c r="BW61" i="1"/>
  <c r="BW60" i="1"/>
  <c r="BW59" i="1"/>
  <c r="BW58" i="1"/>
  <c r="BW57" i="1"/>
  <c r="BW56" i="1"/>
  <c r="BW55" i="1"/>
  <c r="BW54" i="1"/>
  <c r="BQ43" i="1"/>
  <c r="BQ42" i="1"/>
  <c r="BP40" i="1"/>
  <c r="BQ40" i="1" s="1"/>
  <c r="AJ40" i="1"/>
  <c r="AI40" i="1"/>
  <c r="AH40" i="1"/>
  <c r="BP36" i="1"/>
  <c r="BQ36" i="1" s="1"/>
  <c r="BP35" i="1"/>
  <c r="BQ35" i="1" s="1"/>
  <c r="BW39" i="1" s="1"/>
  <c r="BP34" i="1"/>
  <c r="BQ34" i="1" s="1"/>
  <c r="BW38" i="1" s="1"/>
  <c r="BW33" i="1"/>
  <c r="BW34" i="1" s="1"/>
  <c r="BP33" i="1"/>
  <c r="BQ33" i="1" s="1"/>
  <c r="BQ64" i="1" s="1"/>
  <c r="BP32" i="1"/>
  <c r="BQ32" i="1" s="1"/>
  <c r="CO12" i="1" s="1"/>
  <c r="CP12" i="1" s="1"/>
  <c r="BP31" i="1"/>
  <c r="BQ31" i="1" s="1"/>
  <c r="BQ55" i="1" s="1"/>
  <c r="CM30" i="1"/>
  <c r="BZ30" i="1"/>
  <c r="BP30" i="1"/>
  <c r="CE28" i="1"/>
  <c r="CF28" i="1" s="1"/>
  <c r="BS28" i="1"/>
  <c r="BQ28" i="1"/>
  <c r="BR28" i="1" s="1"/>
  <c r="CE27" i="1"/>
  <c r="CF27" i="1" s="1"/>
  <c r="CJ27" i="1" s="1"/>
  <c r="CK27" i="1" s="1"/>
  <c r="BS27" i="1"/>
  <c r="BT27" i="1" s="1"/>
  <c r="BV27" i="1" s="1"/>
  <c r="BQ27" i="1"/>
  <c r="BR27" i="1" s="1"/>
  <c r="CE26" i="1"/>
  <c r="CF26" i="1" s="1"/>
  <c r="BS26" i="1"/>
  <c r="BT26" i="1" s="1"/>
  <c r="BQ26" i="1"/>
  <c r="BR26" i="1" s="1"/>
  <c r="CE25" i="1"/>
  <c r="CF25" i="1" s="1"/>
  <c r="BS25" i="1"/>
  <c r="BT25" i="1" s="1"/>
  <c r="BQ25" i="1"/>
  <c r="BR25" i="1" s="1"/>
  <c r="CE24" i="1"/>
  <c r="CF24" i="1" s="1"/>
  <c r="CJ24" i="1" s="1"/>
  <c r="CK24" i="1" s="1"/>
  <c r="BS24" i="1"/>
  <c r="BT24" i="1" s="1"/>
  <c r="BX24" i="1" s="1"/>
  <c r="BQ24" i="1"/>
  <c r="BR24" i="1" s="1"/>
  <c r="CE23" i="1"/>
  <c r="CF23" i="1" s="1"/>
  <c r="CJ23" i="1" s="1"/>
  <c r="CK23" i="1" s="1"/>
  <c r="BS23" i="1"/>
  <c r="BT23" i="1" s="1"/>
  <c r="EC24" i="1" s="1"/>
  <c r="BQ23" i="1"/>
  <c r="BR23" i="1" s="1"/>
  <c r="CE22" i="1"/>
  <c r="CF22" i="1" s="1"/>
  <c r="BS22" i="1"/>
  <c r="BT22" i="1" s="1"/>
  <c r="EC23" i="1" s="1"/>
  <c r="BQ22" i="1"/>
  <c r="BR22" i="1" s="1"/>
  <c r="CE21" i="1"/>
  <c r="CF21" i="1" s="1"/>
  <c r="BS21" i="1"/>
  <c r="BT21" i="1" s="1"/>
  <c r="EC22" i="1" s="1"/>
  <c r="BQ21" i="1"/>
  <c r="BR21" i="1" s="1"/>
  <c r="CE20" i="1"/>
  <c r="CF20" i="1" s="1"/>
  <c r="BS20" i="1"/>
  <c r="BT20" i="1" s="1"/>
  <c r="EC21" i="1" s="1"/>
  <c r="BQ20" i="1"/>
  <c r="BR20" i="1" s="1"/>
  <c r="CE19" i="1"/>
  <c r="CF19" i="1" s="1"/>
  <c r="BS19" i="1"/>
  <c r="BT19" i="1" s="1"/>
  <c r="BX19" i="1" s="1"/>
  <c r="BQ19" i="1"/>
  <c r="BR19" i="1" s="1"/>
  <c r="CE18" i="1"/>
  <c r="CF18" i="1" s="1"/>
  <c r="BS18" i="1"/>
  <c r="BT18" i="1" s="1"/>
  <c r="BV18" i="1" s="1"/>
  <c r="BQ18" i="1"/>
  <c r="BR18" i="1" s="1"/>
  <c r="CE17" i="1"/>
  <c r="CF17" i="1" s="1"/>
  <c r="BS17" i="1"/>
  <c r="BT17" i="1" s="1"/>
  <c r="BX17" i="1" s="1"/>
  <c r="BQ17" i="1"/>
  <c r="BR17" i="1" s="1"/>
  <c r="CE16" i="1"/>
  <c r="CF16" i="1" s="1"/>
  <c r="BS16" i="1"/>
  <c r="BT16" i="1" s="1"/>
  <c r="EC17" i="1" s="1"/>
  <c r="BQ16" i="1"/>
  <c r="BR16" i="1" s="1"/>
  <c r="CE15" i="1"/>
  <c r="CF15" i="1" s="1"/>
  <c r="BS15" i="1"/>
  <c r="BT15" i="1" s="1"/>
  <c r="BQ15" i="1"/>
  <c r="BR15" i="1" s="1"/>
  <c r="CE14" i="1"/>
  <c r="CF14" i="1" s="1"/>
  <c r="BS14" i="1"/>
  <c r="BT14" i="1" s="1"/>
  <c r="ET31" i="1" s="1"/>
  <c r="BQ14" i="1"/>
  <c r="BR14" i="1" s="1"/>
  <c r="CE13" i="1"/>
  <c r="CF13" i="1" s="1"/>
  <c r="BS13" i="1"/>
  <c r="BQ13" i="1"/>
  <c r="BR13" i="1" s="1"/>
  <c r="CE12" i="1"/>
  <c r="CF12" i="1" s="1"/>
  <c r="BS12" i="1"/>
  <c r="BT12" i="1" s="1"/>
  <c r="ER31" i="1" s="1"/>
  <c r="BQ12" i="1"/>
  <c r="BR12" i="1" s="1"/>
  <c r="CE11" i="1"/>
  <c r="CF11" i="1" s="1"/>
  <c r="BS11" i="1"/>
  <c r="BT11" i="1" s="1"/>
  <c r="BQ11" i="1"/>
  <c r="BR11" i="1" s="1"/>
  <c r="CE10" i="1"/>
  <c r="CF10" i="1" s="1"/>
  <c r="BS10" i="1"/>
  <c r="BT10" i="1" s="1"/>
  <c r="BQ10" i="1"/>
  <c r="BR10" i="1" s="1"/>
  <c r="CE9" i="1"/>
  <c r="CF9" i="1" s="1"/>
  <c r="BS9" i="1"/>
  <c r="BQ9" i="1"/>
  <c r="BR9" i="1" s="1"/>
  <c r="CE8" i="1"/>
  <c r="CF8" i="1" s="1"/>
  <c r="BS8" i="1"/>
  <c r="BT8" i="1" s="1"/>
  <c r="BQ8" i="1"/>
  <c r="BR8" i="1" s="1"/>
  <c r="CE7" i="1"/>
  <c r="CF7" i="1" s="1"/>
  <c r="BS7" i="1"/>
  <c r="BT7" i="1" s="1"/>
  <c r="BQ7" i="1"/>
  <c r="BR7" i="1" s="1"/>
  <c r="CE6" i="1"/>
  <c r="CF6" i="1" s="1"/>
  <c r="BS6" i="1"/>
  <c r="BQ6" i="1"/>
  <c r="BR6" i="1" s="1"/>
  <c r="CE5" i="1"/>
  <c r="CF5" i="1" s="1"/>
  <c r="BS5" i="1"/>
  <c r="BT5" i="1" s="1"/>
  <c r="BQ5" i="1"/>
  <c r="BR5" i="1" s="1"/>
  <c r="BE4" i="1"/>
  <c r="BA7" i="12" l="1"/>
  <c r="E23" i="12" s="1"/>
  <c r="DI7" i="12"/>
  <c r="DJ7" i="12" s="1"/>
  <c r="CE7" i="12"/>
  <c r="CK7" i="12" s="1"/>
  <c r="DC7" i="12"/>
  <c r="DD7" i="12" s="1"/>
  <c r="DF7" i="12" s="1"/>
  <c r="CB7" i="13"/>
  <c r="DU7" i="13"/>
  <c r="DV7" i="13" s="1"/>
  <c r="DF7" i="13"/>
  <c r="DG7" i="13" s="1"/>
  <c r="CZ7" i="13"/>
  <c r="DA7" i="13" s="1"/>
  <c r="DC7" i="13" s="1"/>
  <c r="BA7" i="13"/>
  <c r="E23" i="13" s="1"/>
  <c r="EA8" i="13"/>
  <c r="FC34" i="13"/>
  <c r="EV35" i="13"/>
  <c r="AH82" i="13"/>
  <c r="AG83" i="13"/>
  <c r="CU7" i="12"/>
  <c r="CV7" i="12" s="1"/>
  <c r="CW7" i="12" s="1"/>
  <c r="CX7" i="12" s="1"/>
  <c r="CL7" i="12"/>
  <c r="CM7" i="12" s="1"/>
  <c r="CN7" i="12" s="1"/>
  <c r="DZ7" i="12"/>
  <c r="BD7" i="12" s="1"/>
  <c r="EI7" i="12"/>
  <c r="EJ7" i="12" s="1"/>
  <c r="DP7" i="12" s="1"/>
  <c r="DQ7" i="12" s="1"/>
  <c r="FD34" i="12"/>
  <c r="EX35" i="12"/>
  <c r="AG83" i="12"/>
  <c r="AH82" i="12"/>
  <c r="BX7" i="1"/>
  <c r="D34" i="11"/>
  <c r="D38" i="11"/>
  <c r="D42" i="11"/>
  <c r="D46" i="11"/>
  <c r="D50" i="11"/>
  <c r="D45" i="11"/>
  <c r="D53" i="11"/>
  <c r="D33" i="11"/>
  <c r="D37" i="11"/>
  <c r="D41" i="11"/>
  <c r="D49" i="11"/>
  <c r="D32" i="11"/>
  <c r="D36" i="11"/>
  <c r="D40" i="11"/>
  <c r="D44" i="11"/>
  <c r="D48" i="11"/>
  <c r="D52" i="11"/>
  <c r="D31" i="11"/>
  <c r="D35" i="11"/>
  <c r="D39" i="11"/>
  <c r="D43" i="11"/>
  <c r="D47" i="11"/>
  <c r="D51" i="11"/>
  <c r="CL24" i="1"/>
  <c r="CL23" i="1"/>
  <c r="CL27" i="1"/>
  <c r="DF6" i="10"/>
  <c r="DT5" i="10"/>
  <c r="BC5" i="10" s="1"/>
  <c r="AG76" i="10"/>
  <c r="AH75" i="10"/>
  <c r="EW33" i="10"/>
  <c r="EO34" i="10"/>
  <c r="EJ49" i="1"/>
  <c r="EJ50" i="1"/>
  <c r="EJ52" i="1"/>
  <c r="EJ53" i="1"/>
  <c r="EJ54" i="1"/>
  <c r="EJ55" i="1"/>
  <c r="EJ34" i="1"/>
  <c r="EJ48" i="1"/>
  <c r="EJ51" i="1"/>
  <c r="DU27" i="1"/>
  <c r="EJ35" i="1"/>
  <c r="EJ36" i="1"/>
  <c r="EJ38" i="1"/>
  <c r="EJ39" i="1"/>
  <c r="EJ40" i="1"/>
  <c r="EJ41" i="1"/>
  <c r="EJ42" i="1"/>
  <c r="EJ43" i="1"/>
  <c r="EJ44" i="1"/>
  <c r="EJ45" i="1"/>
  <c r="EJ46" i="1"/>
  <c r="DU18" i="1"/>
  <c r="BP15" i="1"/>
  <c r="CG13" i="1"/>
  <c r="CW13" i="1" s="1"/>
  <c r="CG9" i="1"/>
  <c r="CW9" i="1" s="1"/>
  <c r="CO8" i="1"/>
  <c r="CP8" i="1" s="1"/>
  <c r="CO7" i="1"/>
  <c r="CP7" i="1" s="1"/>
  <c r="BP80" i="1"/>
  <c r="CO10" i="1"/>
  <c r="CP10" i="1" s="1"/>
  <c r="BQ30" i="1"/>
  <c r="CZ15" i="1" s="1"/>
  <c r="BP7" i="1"/>
  <c r="BP13" i="1"/>
  <c r="BP23" i="1"/>
  <c r="BP9" i="1"/>
  <c r="BP11" i="1"/>
  <c r="BP21" i="1"/>
  <c r="BP17" i="1"/>
  <c r="BP19" i="1"/>
  <c r="AH73" i="1"/>
  <c r="AH74" i="1" s="1"/>
  <c r="BP6" i="1"/>
  <c r="DU5" i="1"/>
  <c r="BP12" i="1"/>
  <c r="BP14" i="1"/>
  <c r="BP16" i="1"/>
  <c r="BP20" i="1"/>
  <c r="BP22" i="1"/>
  <c r="BP24" i="1"/>
  <c r="J34" i="7"/>
  <c r="J37" i="7"/>
  <c r="J36" i="7"/>
  <c r="J33" i="7"/>
  <c r="J38" i="7"/>
  <c r="J40" i="7"/>
  <c r="J42" i="7"/>
  <c r="J44" i="7"/>
  <c r="J46" i="7"/>
  <c r="J48" i="7"/>
  <c r="J51" i="7"/>
  <c r="J31" i="7"/>
  <c r="J35" i="7"/>
  <c r="J43" i="7"/>
  <c r="J52" i="7"/>
  <c r="J39" i="7"/>
  <c r="J41" i="7"/>
  <c r="J45" i="7"/>
  <c r="J47" i="7"/>
  <c r="J49" i="7"/>
  <c r="J32" i="7"/>
  <c r="J50" i="7"/>
  <c r="J53" i="7"/>
  <c r="CO16" i="1"/>
  <c r="CP16" i="1" s="1"/>
  <c r="CO21" i="1"/>
  <c r="CP21" i="1" s="1"/>
  <c r="CG8" i="1"/>
  <c r="CW8" i="1" s="1"/>
  <c r="CO24" i="1"/>
  <c r="CP24" i="1" s="1"/>
  <c r="CO13" i="1"/>
  <c r="CP13" i="1" s="1"/>
  <c r="CO19" i="1"/>
  <c r="CP19" i="1" s="1"/>
  <c r="BT9" i="1"/>
  <c r="EO31" i="1" s="1"/>
  <c r="BT6" i="1"/>
  <c r="EC7" i="1" s="1"/>
  <c r="CO9" i="1"/>
  <c r="CP9" i="1" s="1"/>
  <c r="CO11" i="1"/>
  <c r="CP11" i="1" s="1"/>
  <c r="CO15" i="1"/>
  <c r="CP15" i="1" s="1"/>
  <c r="CO17" i="1"/>
  <c r="CP17" i="1" s="1"/>
  <c r="CO20" i="1"/>
  <c r="CP20" i="1" s="1"/>
  <c r="CO22" i="1"/>
  <c r="CP22" i="1" s="1"/>
  <c r="CO25" i="1"/>
  <c r="CP25" i="1" s="1"/>
  <c r="CO26" i="1"/>
  <c r="CP26" i="1" s="1"/>
  <c r="CO14" i="1"/>
  <c r="CP14" i="1" s="1"/>
  <c r="CO18" i="1"/>
  <c r="CP18" i="1" s="1"/>
  <c r="CO23" i="1"/>
  <c r="CP23" i="1" s="1"/>
  <c r="CO5" i="1"/>
  <c r="CP5" i="1" s="1"/>
  <c r="CO6" i="1"/>
  <c r="CP6" i="1" s="1"/>
  <c r="BX16" i="1"/>
  <c r="BX23" i="1"/>
  <c r="BX22" i="1"/>
  <c r="EC19" i="1"/>
  <c r="BU18" i="1"/>
  <c r="BY18" i="1" s="1"/>
  <c r="BX20" i="1"/>
  <c r="BX21" i="1"/>
  <c r="BU8" i="1"/>
  <c r="BY8" i="1" s="1"/>
  <c r="CM8" i="1" s="1"/>
  <c r="EQ31" i="1"/>
  <c r="EC12" i="1"/>
  <c r="CD11" i="1"/>
  <c r="CR11" i="1" s="1"/>
  <c r="BX11" i="1"/>
  <c r="ED8" i="1"/>
  <c r="ED10" i="1"/>
  <c r="BU10" i="1"/>
  <c r="CG10" i="1"/>
  <c r="BV11" i="1"/>
  <c r="BU5" i="1"/>
  <c r="CG5" i="1"/>
  <c r="CJ5" i="1"/>
  <c r="CK5" i="1" s="1"/>
  <c r="EN31" i="1"/>
  <c r="BX8" i="1"/>
  <c r="EC9" i="1"/>
  <c r="CD8" i="1"/>
  <c r="CR8" i="1" s="1"/>
  <c r="BV8" i="1"/>
  <c r="EP31" i="1"/>
  <c r="CD10" i="1"/>
  <c r="CR10" i="1" s="1"/>
  <c r="BV10" i="1"/>
  <c r="EC11" i="1"/>
  <c r="BX10" i="1"/>
  <c r="CG12" i="1"/>
  <c r="CG14" i="1"/>
  <c r="EU31" i="1"/>
  <c r="CD15" i="1"/>
  <c r="CR15" i="1" s="1"/>
  <c r="BX15" i="1"/>
  <c r="EC16" i="1"/>
  <c r="BV15" i="1"/>
  <c r="EK31" i="1"/>
  <c r="CD5" i="1"/>
  <c r="CR5" i="1" s="1"/>
  <c r="BV5" i="1"/>
  <c r="EC6" i="1"/>
  <c r="BX5" i="1"/>
  <c r="CG6" i="1"/>
  <c r="EJ37" i="1"/>
  <c r="BP8" i="1"/>
  <c r="DU8" i="1"/>
  <c r="CJ6" i="1"/>
  <c r="CK6" i="1" s="1"/>
  <c r="EM31" i="1"/>
  <c r="EC8" i="1"/>
  <c r="CD7" i="1"/>
  <c r="CR7" i="1" s="1"/>
  <c r="BV7" i="1"/>
  <c r="CG7" i="1"/>
  <c r="ED9" i="1"/>
  <c r="CG11" i="1"/>
  <c r="CG15" i="1"/>
  <c r="BP5" i="1"/>
  <c r="DU6" i="1"/>
  <c r="BU7" i="1"/>
  <c r="DU7" i="1"/>
  <c r="ED7" i="1"/>
  <c r="BP10" i="1"/>
  <c r="ED11" i="1"/>
  <c r="BU11" i="1"/>
  <c r="BX12" i="1"/>
  <c r="CD12" i="1"/>
  <c r="CR12" i="1" s="1"/>
  <c r="BT13" i="1"/>
  <c r="BU13" i="1" s="1"/>
  <c r="BV14" i="1"/>
  <c r="ED15" i="1"/>
  <c r="BU15" i="1"/>
  <c r="EW31" i="1"/>
  <c r="EC18" i="1"/>
  <c r="CD17" i="1"/>
  <c r="CR17" i="1" s="1"/>
  <c r="BV17" i="1"/>
  <c r="CG17" i="1"/>
  <c r="ED19" i="1"/>
  <c r="BU19" i="1"/>
  <c r="ED25" i="1"/>
  <c r="BU25" i="1"/>
  <c r="ED26" i="1"/>
  <c r="ED12" i="1"/>
  <c r="BU12" i="1"/>
  <c r="DU10" i="1"/>
  <c r="ED14" i="1"/>
  <c r="BU14" i="1"/>
  <c r="EC15" i="1"/>
  <c r="CG18" i="1"/>
  <c r="ED6" i="1"/>
  <c r="DU9" i="1"/>
  <c r="BV12" i="1"/>
  <c r="ED13" i="1"/>
  <c r="EC13" i="1"/>
  <c r="BX14" i="1"/>
  <c r="CD14" i="1"/>
  <c r="CR14" i="1" s="1"/>
  <c r="EV31" i="1"/>
  <c r="CD16" i="1"/>
  <c r="CR16" i="1" s="1"/>
  <c r="BV16" i="1"/>
  <c r="CG16" i="1"/>
  <c r="CG25" i="1"/>
  <c r="CJ25" i="1"/>
  <c r="CK25" i="1" s="1"/>
  <c r="DU11" i="1"/>
  <c r="DU12" i="1"/>
  <c r="DU13" i="1"/>
  <c r="DU14" i="1"/>
  <c r="DU15" i="1"/>
  <c r="BU16" i="1"/>
  <c r="DU16" i="1"/>
  <c r="ED16" i="1"/>
  <c r="BU17" i="1"/>
  <c r="DU17" i="1"/>
  <c r="ED17" i="1"/>
  <c r="EE17" i="1" s="1"/>
  <c r="ED18" i="1"/>
  <c r="CD20" i="1"/>
  <c r="CR20" i="1" s="1"/>
  <c r="BV20" i="1"/>
  <c r="EZ31" i="1"/>
  <c r="CG20" i="1"/>
  <c r="FB31" i="1"/>
  <c r="CD22" i="1"/>
  <c r="CR22" i="1" s="1"/>
  <c r="BV22" i="1"/>
  <c r="CG22" i="1"/>
  <c r="FD31" i="1"/>
  <c r="EC25" i="1"/>
  <c r="CD24" i="1"/>
  <c r="CR24" i="1" s="1"/>
  <c r="BV24" i="1"/>
  <c r="CG24" i="1"/>
  <c r="FE31" i="1"/>
  <c r="EC26" i="1"/>
  <c r="CD25" i="1"/>
  <c r="CR25" i="1" s="1"/>
  <c r="BV25" i="1"/>
  <c r="BX25" i="1"/>
  <c r="EY31" i="1"/>
  <c r="CD19" i="1"/>
  <c r="CR19" i="1" s="1"/>
  <c r="EC20" i="1"/>
  <c r="FF31" i="1"/>
  <c r="EC27" i="1"/>
  <c r="BX26" i="1"/>
  <c r="CD26" i="1"/>
  <c r="CR26" i="1" s="1"/>
  <c r="BV26" i="1"/>
  <c r="EJ47" i="1"/>
  <c r="BP18" i="1"/>
  <c r="EX31" i="1"/>
  <c r="BX18" i="1"/>
  <c r="CD18" i="1"/>
  <c r="CR18" i="1" s="1"/>
  <c r="BV19" i="1"/>
  <c r="CG19" i="1"/>
  <c r="FA31" i="1"/>
  <c r="CD21" i="1"/>
  <c r="CR21" i="1" s="1"/>
  <c r="BV21" i="1"/>
  <c r="CG21" i="1"/>
  <c r="FC31" i="1"/>
  <c r="CD23" i="1"/>
  <c r="CR23" i="1" s="1"/>
  <c r="BV23" i="1"/>
  <c r="CG23" i="1"/>
  <c r="ED27" i="1"/>
  <c r="BU27" i="1"/>
  <c r="BT28" i="1"/>
  <c r="DU19" i="1"/>
  <c r="BU20" i="1"/>
  <c r="DU20" i="1"/>
  <c r="ED20" i="1"/>
  <c r="BU21" i="1"/>
  <c r="DU21" i="1"/>
  <c r="ED21" i="1"/>
  <c r="EE21" i="1" s="1"/>
  <c r="BU22" i="1"/>
  <c r="DU22" i="1"/>
  <c r="ED22" i="1"/>
  <c r="EE22" i="1" s="1"/>
  <c r="BU23" i="1"/>
  <c r="DU23" i="1"/>
  <c r="ED23" i="1"/>
  <c r="EE23" i="1" s="1"/>
  <c r="BU24" i="1"/>
  <c r="DU24" i="1"/>
  <c r="ED24" i="1"/>
  <c r="EE24" i="1" s="1"/>
  <c r="BP25" i="1"/>
  <c r="DU25" i="1"/>
  <c r="CJ28" i="1"/>
  <c r="CK28" i="1" s="1"/>
  <c r="CG28" i="1"/>
  <c r="DU29" i="1"/>
  <c r="CG26" i="1"/>
  <c r="CJ26" i="1"/>
  <c r="CK26" i="1" s="1"/>
  <c r="BU26" i="1"/>
  <c r="CG27" i="1"/>
  <c r="EJ57" i="1"/>
  <c r="BP28" i="1"/>
  <c r="ED28" i="1"/>
  <c r="DU28" i="1"/>
  <c r="BQ63" i="1"/>
  <c r="BQ66" i="1" s="1"/>
  <c r="BQ67" i="1" s="1"/>
  <c r="BQ68" i="1" s="1"/>
  <c r="CO29" i="1"/>
  <c r="CP29" i="1" s="1"/>
  <c r="CO28" i="1"/>
  <c r="CP28" i="1" s="1"/>
  <c r="CO27" i="1"/>
  <c r="CP27" i="1" s="1"/>
  <c r="BP26" i="1"/>
  <c r="DU26" i="1"/>
  <c r="EJ56" i="1"/>
  <c r="BP27" i="1"/>
  <c r="FG31" i="1"/>
  <c r="EC28" i="1"/>
  <c r="BX27" i="1"/>
  <c r="CD27" i="1"/>
  <c r="CR27" i="1" s="1"/>
  <c r="DK7" i="12" l="1"/>
  <c r="EL7" i="12" s="1"/>
  <c r="EO36" i="12" s="1"/>
  <c r="EP36" i="12" s="1"/>
  <c r="EQ36" i="12" s="1"/>
  <c r="ER36" i="12" s="1"/>
  <c r="DH7" i="13"/>
  <c r="EF7" i="13"/>
  <c r="EG7" i="13" s="1"/>
  <c r="DM7" i="13" s="1"/>
  <c r="DN7" i="13" s="1"/>
  <c r="DW7" i="13"/>
  <c r="BD7" i="13" s="1"/>
  <c r="CH7" i="13"/>
  <c r="CR7" i="13" s="1"/>
  <c r="CS7" i="13" s="1"/>
  <c r="CT7" i="13" s="1"/>
  <c r="BC8" i="13"/>
  <c r="F24" i="13" s="1"/>
  <c r="BF8" i="13"/>
  <c r="F25" i="13" s="1"/>
  <c r="EW35" i="13"/>
  <c r="FD34" i="13"/>
  <c r="AG84" i="13"/>
  <c r="AH84" i="13" s="1"/>
  <c r="AH83" i="13"/>
  <c r="AI73" i="1"/>
  <c r="DL7" i="12"/>
  <c r="DN7" i="12" s="1"/>
  <c r="DR7" i="12" s="1"/>
  <c r="DT7" i="12" s="1"/>
  <c r="DU7" i="12" s="1"/>
  <c r="BW7" i="12"/>
  <c r="BE7" i="12"/>
  <c r="EA9" i="12"/>
  <c r="ED9" i="12" s="1"/>
  <c r="EY35" i="12"/>
  <c r="AG84" i="12"/>
  <c r="AH84" i="12" s="1"/>
  <c r="AH83" i="12"/>
  <c r="FE34" i="12"/>
  <c r="ES36" i="12"/>
  <c r="AH75" i="1"/>
  <c r="AH76" i="1" s="1"/>
  <c r="AH77" i="1" s="1"/>
  <c r="AH78" i="1" s="1"/>
  <c r="AH79" i="1" s="1"/>
  <c r="AH80" i="1" s="1"/>
  <c r="AH81" i="1" s="1"/>
  <c r="AH82" i="1" s="1"/>
  <c r="AH83" i="1" s="1"/>
  <c r="AH84" i="1" s="1"/>
  <c r="AH85" i="1" s="1"/>
  <c r="AH86" i="1" s="1"/>
  <c r="AH87" i="1" s="1"/>
  <c r="AH88" i="1" s="1"/>
  <c r="AH89" i="1" s="1"/>
  <c r="AH90" i="1" s="1"/>
  <c r="CL5" i="1"/>
  <c r="CL6" i="1"/>
  <c r="CL26" i="1"/>
  <c r="CL25" i="1"/>
  <c r="CL28" i="1"/>
  <c r="AH76" i="10"/>
  <c r="AG77" i="10"/>
  <c r="EP34" i="10"/>
  <c r="EX33" i="10"/>
  <c r="CC6" i="10"/>
  <c r="DV6" i="10"/>
  <c r="DW6" i="10" s="1"/>
  <c r="DZ6" i="10" s="1"/>
  <c r="DG6" i="10"/>
  <c r="DH6" i="10" s="1"/>
  <c r="DA6" i="10"/>
  <c r="DB6" i="10" s="1"/>
  <c r="DD6" i="10" s="1"/>
  <c r="CZ8" i="1"/>
  <c r="BZ31" i="1"/>
  <c r="BZ32" i="1" s="1"/>
  <c r="CZ17" i="1"/>
  <c r="CZ19" i="1"/>
  <c r="CZ10" i="1"/>
  <c r="CZ6" i="1"/>
  <c r="CZ22" i="1"/>
  <c r="CZ27" i="1"/>
  <c r="CZ21" i="1"/>
  <c r="CZ7" i="1"/>
  <c r="CZ26" i="1"/>
  <c r="BZ33" i="1"/>
  <c r="BZ34" i="1" s="1"/>
  <c r="CZ18" i="1"/>
  <c r="CZ16" i="1"/>
  <c r="CZ14" i="1"/>
  <c r="BQ54" i="1"/>
  <c r="BQ57" i="1" s="1"/>
  <c r="BQ58" i="1" s="1"/>
  <c r="BX69" i="1" s="1"/>
  <c r="CZ20" i="1"/>
  <c r="CZ5" i="1"/>
  <c r="CZ9" i="1"/>
  <c r="CZ25" i="1"/>
  <c r="CZ29" i="1"/>
  <c r="CD9" i="1"/>
  <c r="CR9" i="1" s="1"/>
  <c r="CZ28" i="1"/>
  <c r="CZ23" i="1"/>
  <c r="CZ24" i="1"/>
  <c r="CZ11" i="1"/>
  <c r="CZ13" i="1"/>
  <c r="CZ12" i="1"/>
  <c r="BU9" i="1"/>
  <c r="DC9" i="1" s="1"/>
  <c r="BU6" i="1"/>
  <c r="DC6" i="1" s="1"/>
  <c r="BX9" i="1"/>
  <c r="EC10" i="1"/>
  <c r="EE10" i="1" s="1"/>
  <c r="EF10" i="1" s="1"/>
  <c r="BV6" i="1"/>
  <c r="EE19" i="1"/>
  <c r="EF19" i="1" s="1"/>
  <c r="EE7" i="1"/>
  <c r="EF7" i="1" s="1"/>
  <c r="BV9" i="1"/>
  <c r="EE8" i="1"/>
  <c r="EF8" i="1" s="1"/>
  <c r="DC18" i="1"/>
  <c r="BX6" i="1"/>
  <c r="CD6" i="1"/>
  <c r="CR6" i="1" s="1"/>
  <c r="DC8" i="1"/>
  <c r="EL31" i="1"/>
  <c r="EE28" i="1"/>
  <c r="EF28" i="1" s="1"/>
  <c r="CX8" i="1"/>
  <c r="BZ8" i="1"/>
  <c r="CA8" i="1" s="1"/>
  <c r="CB8" i="1" s="1"/>
  <c r="CH8" i="1" s="1"/>
  <c r="CQ8" i="1" s="1"/>
  <c r="EE27" i="1"/>
  <c r="EF27" i="1" s="1"/>
  <c r="EE26" i="1"/>
  <c r="EF26" i="1" s="1"/>
  <c r="EE15" i="1"/>
  <c r="EF15" i="1" s="1"/>
  <c r="EF17" i="1"/>
  <c r="EF23" i="1"/>
  <c r="EF24" i="1"/>
  <c r="EF21" i="1"/>
  <c r="DC22" i="1"/>
  <c r="BY22" i="1"/>
  <c r="CW23" i="1"/>
  <c r="CW19" i="1"/>
  <c r="CW24" i="1"/>
  <c r="EE25" i="1"/>
  <c r="EE13" i="1"/>
  <c r="DC12" i="1"/>
  <c r="BY12" i="1"/>
  <c r="CW17" i="1"/>
  <c r="EE18" i="1"/>
  <c r="ES31" i="1"/>
  <c r="EC14" i="1"/>
  <c r="EE14" i="1" s="1"/>
  <c r="BV13" i="1"/>
  <c r="BX13" i="1"/>
  <c r="CD13" i="1"/>
  <c r="CR13" i="1" s="1"/>
  <c r="DC11" i="1"/>
  <c r="BY11" i="1"/>
  <c r="CW6" i="1"/>
  <c r="EE6" i="1"/>
  <c r="CW14" i="1"/>
  <c r="CW12" i="1"/>
  <c r="EE9" i="1"/>
  <c r="CW10" i="1"/>
  <c r="EE12" i="1"/>
  <c r="DC23" i="1"/>
  <c r="BY23" i="1"/>
  <c r="CW20" i="1"/>
  <c r="CW25" i="1"/>
  <c r="CW16" i="1"/>
  <c r="CW18" i="1"/>
  <c r="EF22" i="1"/>
  <c r="DC14" i="1"/>
  <c r="BY14" i="1"/>
  <c r="DC19" i="1"/>
  <c r="BY19" i="1"/>
  <c r="CW11" i="1"/>
  <c r="CW7" i="1"/>
  <c r="DC10" i="1"/>
  <c r="BY10" i="1"/>
  <c r="DC26" i="1"/>
  <c r="BY26" i="1"/>
  <c r="CW26" i="1"/>
  <c r="BX28" i="1"/>
  <c r="FH31" i="1"/>
  <c r="EC29" i="1"/>
  <c r="BV28" i="1"/>
  <c r="BU28" i="1"/>
  <c r="CD28" i="1"/>
  <c r="CR28" i="1" s="1"/>
  <c r="AI74" i="1"/>
  <c r="DC24" i="1"/>
  <c r="BY24" i="1"/>
  <c r="DC20" i="1"/>
  <c r="BY20" i="1"/>
  <c r="BY27" i="1"/>
  <c r="DC27" i="1"/>
  <c r="CW21" i="1"/>
  <c r="DC16" i="1"/>
  <c r="BY16" i="1"/>
  <c r="DC13" i="1"/>
  <c r="BY13" i="1"/>
  <c r="CW15" i="1"/>
  <c r="EE16" i="1"/>
  <c r="CW5" i="1"/>
  <c r="CW27" i="1"/>
  <c r="CW28" i="1"/>
  <c r="DC21" i="1"/>
  <c r="BY21" i="1"/>
  <c r="EE20" i="1"/>
  <c r="CW22" i="1"/>
  <c r="DC17" i="1"/>
  <c r="BY17" i="1"/>
  <c r="CX18" i="1"/>
  <c r="CM18" i="1"/>
  <c r="BZ18" i="1"/>
  <c r="CA18" i="1" s="1"/>
  <c r="BY25" i="1"/>
  <c r="DC25" i="1"/>
  <c r="DC15" i="1"/>
  <c r="BY15" i="1"/>
  <c r="DC7" i="1"/>
  <c r="BY7" i="1"/>
  <c r="EE11" i="1"/>
  <c r="DC5" i="1"/>
  <c r="BY5" i="1"/>
  <c r="EO59" i="12" l="1"/>
  <c r="EO60" i="12" s="1"/>
  <c r="EN8" i="12" s="1"/>
  <c r="CU7" i="13"/>
  <c r="BE7" i="13"/>
  <c r="BV7" i="13"/>
  <c r="DX9" i="13"/>
  <c r="EI7" i="13"/>
  <c r="EL36" i="13" s="1"/>
  <c r="DI7" i="13"/>
  <c r="FE34" i="13"/>
  <c r="EX35" i="13"/>
  <c r="DM7" i="12"/>
  <c r="DV7" i="12"/>
  <c r="BB7" i="12" s="1"/>
  <c r="DH8" i="12"/>
  <c r="BF9" i="12"/>
  <c r="G25" i="12" s="1"/>
  <c r="BC9" i="12"/>
  <c r="G24" i="12" s="1"/>
  <c r="FF34" i="12"/>
  <c r="ET36" i="12"/>
  <c r="EZ35" i="12"/>
  <c r="DZ7" i="10"/>
  <c r="EB6" i="10"/>
  <c r="DE6" i="10"/>
  <c r="EJ6" i="10" s="1"/>
  <c r="EM35" i="10" s="1"/>
  <c r="DX6" i="10"/>
  <c r="EG6" i="10"/>
  <c r="EH6" i="10" s="1"/>
  <c r="DN6" i="10" s="1"/>
  <c r="EY33" i="10"/>
  <c r="EQ34" i="10"/>
  <c r="CI6" i="10"/>
  <c r="CS6" i="10" s="1"/>
  <c r="CT6" i="10" s="1"/>
  <c r="AH77" i="10"/>
  <c r="AG78" i="10"/>
  <c r="BY9" i="1"/>
  <c r="CX9" i="1" s="1"/>
  <c r="BX55" i="1"/>
  <c r="BX61" i="1"/>
  <c r="BX56" i="1"/>
  <c r="BX64" i="1"/>
  <c r="BX65" i="1"/>
  <c r="BX54" i="1"/>
  <c r="BQ59" i="1"/>
  <c r="BX63" i="1"/>
  <c r="BX60" i="1"/>
  <c r="BX58" i="1"/>
  <c r="BX62" i="1"/>
  <c r="BX57" i="1"/>
  <c r="BX68" i="1"/>
  <c r="BX66" i="1"/>
  <c r="BX59" i="1"/>
  <c r="BX67" i="1"/>
  <c r="BQ60" i="1"/>
  <c r="BY6" i="1"/>
  <c r="CX6" i="1" s="1"/>
  <c r="CM7" i="1"/>
  <c r="BZ7" i="1"/>
  <c r="CA7" i="1" s="1"/>
  <c r="CB7" i="1" s="1"/>
  <c r="CH7" i="1" s="1"/>
  <c r="CX7" i="1"/>
  <c r="EF20" i="1"/>
  <c r="EF16" i="1"/>
  <c r="CX13" i="1"/>
  <c r="CM13" i="1"/>
  <c r="BZ13" i="1"/>
  <c r="CA13" i="1" s="1"/>
  <c r="BY28" i="1"/>
  <c r="DC28" i="1"/>
  <c r="CX26" i="1"/>
  <c r="BZ26" i="1"/>
  <c r="CA26" i="1" s="1"/>
  <c r="CM26" i="1"/>
  <c r="CM19" i="1"/>
  <c r="BZ19" i="1"/>
  <c r="CA19" i="1" s="1"/>
  <c r="CX19" i="1"/>
  <c r="EF18" i="1"/>
  <c r="CX12" i="1"/>
  <c r="CM12" i="1"/>
  <c r="BZ12" i="1"/>
  <c r="CA12" i="1" s="1"/>
  <c r="EF13" i="1"/>
  <c r="BZ25" i="1"/>
  <c r="CA25" i="1" s="1"/>
  <c r="CX25" i="1"/>
  <c r="CM25" i="1"/>
  <c r="CM24" i="1"/>
  <c r="BZ24" i="1"/>
  <c r="CA24" i="1" s="1"/>
  <c r="CX24" i="1"/>
  <c r="EF6" i="1"/>
  <c r="CX11" i="1"/>
  <c r="BZ11" i="1"/>
  <c r="CA11" i="1" s="1"/>
  <c r="CM11" i="1"/>
  <c r="EF25" i="1"/>
  <c r="CM22" i="1"/>
  <c r="BZ22" i="1"/>
  <c r="CA22" i="1" s="1"/>
  <c r="CX22" i="1"/>
  <c r="EF11" i="1"/>
  <c r="CM15" i="1"/>
  <c r="CX15" i="1"/>
  <c r="BZ15" i="1"/>
  <c r="CA15" i="1" s="1"/>
  <c r="CM16" i="1"/>
  <c r="BZ16" i="1"/>
  <c r="CA16" i="1" s="1"/>
  <c r="CX16" i="1"/>
  <c r="CM27" i="1"/>
  <c r="CX27" i="1"/>
  <c r="BZ27" i="1"/>
  <c r="CA27" i="1" s="1"/>
  <c r="AI75" i="1"/>
  <c r="BZ10" i="1"/>
  <c r="CA10" i="1" s="1"/>
  <c r="CX10" i="1"/>
  <c r="CM10" i="1"/>
  <c r="CX14" i="1"/>
  <c r="BZ14" i="1"/>
  <c r="CA14" i="1" s="1"/>
  <c r="CM14" i="1"/>
  <c r="CM23" i="1"/>
  <c r="BZ23" i="1"/>
  <c r="CA23" i="1" s="1"/>
  <c r="CX23" i="1"/>
  <c r="EF12" i="1"/>
  <c r="EF9" i="1"/>
  <c r="EF14" i="1"/>
  <c r="CB18" i="1"/>
  <c r="CH18" i="1" s="1"/>
  <c r="CQ18" i="1" s="1"/>
  <c r="BZ5" i="1"/>
  <c r="CA5" i="1" s="1"/>
  <c r="CX5" i="1"/>
  <c r="CM5" i="1"/>
  <c r="CM17" i="1"/>
  <c r="BZ17" i="1"/>
  <c r="CA17" i="1" s="1"/>
  <c r="CX17" i="1"/>
  <c r="CM21" i="1"/>
  <c r="BZ21" i="1"/>
  <c r="CA21" i="1" s="1"/>
  <c r="CX21" i="1"/>
  <c r="CM20" i="1"/>
  <c r="BZ20" i="1"/>
  <c r="CA20" i="1" s="1"/>
  <c r="CX20" i="1"/>
  <c r="DK7" i="13" l="1"/>
  <c r="DO7" i="13" s="1"/>
  <c r="DQ7" i="13" s="1"/>
  <c r="DR7" i="13" s="1"/>
  <c r="EM36" i="13"/>
  <c r="EN36" i="13" s="1"/>
  <c r="EO36" i="13" s="1"/>
  <c r="EP36" i="13" s="1"/>
  <c r="EQ36" i="13" s="1"/>
  <c r="EL59" i="13"/>
  <c r="EL60" i="13" s="1"/>
  <c r="EK8" i="13" s="1"/>
  <c r="FF34" i="13"/>
  <c r="EY35" i="13"/>
  <c r="DI8" i="12"/>
  <c r="DJ8" i="12" s="1"/>
  <c r="DX8" i="12"/>
  <c r="DY8" i="12" s="1"/>
  <c r="CE8" i="12"/>
  <c r="CK8" i="12" s="1"/>
  <c r="DC8" i="12"/>
  <c r="DD8" i="12" s="1"/>
  <c r="DF8" i="12" s="1"/>
  <c r="BA8" i="12"/>
  <c r="F23" i="12" s="1"/>
  <c r="EU36" i="12"/>
  <c r="ET58" i="12"/>
  <c r="EM12" i="12" s="1"/>
  <c r="FG34" i="12"/>
  <c r="FA35" i="12"/>
  <c r="BE6" i="10"/>
  <c r="BG6" i="10"/>
  <c r="E24" i="10" s="1"/>
  <c r="BD6" i="10"/>
  <c r="E23" i="10" s="1"/>
  <c r="BB6" i="10"/>
  <c r="E22" i="10" s="1"/>
  <c r="EB7" i="10"/>
  <c r="EM58" i="10"/>
  <c r="EM59" i="10" s="1"/>
  <c r="EL7" i="10" s="1"/>
  <c r="EN35" i="10"/>
  <c r="EO35" i="10" s="1"/>
  <c r="DJ6" i="10"/>
  <c r="DL6" i="10" s="1"/>
  <c r="DK6" i="10" s="1"/>
  <c r="EZ33" i="10"/>
  <c r="AG79" i="10"/>
  <c r="AH78" i="10"/>
  <c r="ER34" i="10"/>
  <c r="EQ57" i="10"/>
  <c r="EK10" i="10" s="1"/>
  <c r="DO6" i="10"/>
  <c r="BZ9" i="1"/>
  <c r="CA9" i="1" s="1"/>
  <c r="CB9" i="1" s="1"/>
  <c r="CH9" i="1" s="1"/>
  <c r="CQ9" i="1" s="1"/>
  <c r="CM9" i="1"/>
  <c r="CM6" i="1"/>
  <c r="BZ6" i="1"/>
  <c r="CA6" i="1" s="1"/>
  <c r="BG6" i="1" s="1"/>
  <c r="E25" i="1" s="1"/>
  <c r="CB5" i="1"/>
  <c r="CH5" i="1" s="1"/>
  <c r="CQ5" i="1" s="1"/>
  <c r="BG5" i="1"/>
  <c r="CB26" i="1"/>
  <c r="CH26" i="1" s="1"/>
  <c r="CQ26" i="1" s="1"/>
  <c r="CB27" i="1"/>
  <c r="CH27" i="1" s="1"/>
  <c r="CQ27" i="1" s="1"/>
  <c r="CQ7" i="1"/>
  <c r="CB10" i="1"/>
  <c r="CH10" i="1" s="1"/>
  <c r="CQ10" i="1" s="1"/>
  <c r="CB23" i="1"/>
  <c r="CH23" i="1" s="1"/>
  <c r="CQ23" i="1" s="1"/>
  <c r="CB16" i="1"/>
  <c r="CH16" i="1" s="1"/>
  <c r="CQ16" i="1" s="1"/>
  <c r="CB22" i="1"/>
  <c r="CH22" i="1" s="1"/>
  <c r="CQ22" i="1" s="1"/>
  <c r="CB12" i="1"/>
  <c r="CH12" i="1" s="1"/>
  <c r="CQ12" i="1" s="1"/>
  <c r="CB14" i="1"/>
  <c r="CH14" i="1" s="1"/>
  <c r="CQ14" i="1" s="1"/>
  <c r="CB13" i="1"/>
  <c r="CH13" i="1" s="1"/>
  <c r="CQ13" i="1" s="1"/>
  <c r="CB20" i="1"/>
  <c r="CH20" i="1" s="1"/>
  <c r="CQ20" i="1" s="1"/>
  <c r="CB21" i="1"/>
  <c r="CH21" i="1" s="1"/>
  <c r="CQ21" i="1" s="1"/>
  <c r="CB17" i="1"/>
  <c r="CH17" i="1" s="1"/>
  <c r="CQ17" i="1" s="1"/>
  <c r="CB15" i="1"/>
  <c r="CH15" i="1" s="1"/>
  <c r="CQ15" i="1" s="1"/>
  <c r="CB11" i="1"/>
  <c r="CH11" i="1" s="1"/>
  <c r="CQ11" i="1" s="1"/>
  <c r="CB24" i="1"/>
  <c r="CH24" i="1" s="1"/>
  <c r="CQ24" i="1" s="1"/>
  <c r="CB25" i="1"/>
  <c r="CH25" i="1" s="1"/>
  <c r="CQ25" i="1" s="1"/>
  <c r="CB19" i="1"/>
  <c r="CH19" i="1" s="1"/>
  <c r="CQ19" i="1" s="1"/>
  <c r="CM28" i="1"/>
  <c r="CX28" i="1"/>
  <c r="BZ28" i="1"/>
  <c r="CA28" i="1" s="1"/>
  <c r="AI76" i="1"/>
  <c r="CU6" i="10"/>
  <c r="EQ58" i="13" l="1"/>
  <c r="EJ12" i="13" s="1"/>
  <c r="ER36" i="13"/>
  <c r="ES36" i="13" s="1"/>
  <c r="ET36" i="13" s="1"/>
  <c r="EU36" i="13" s="1"/>
  <c r="EV36" i="13" s="1"/>
  <c r="DJ7" i="13"/>
  <c r="DS7" i="13"/>
  <c r="BB7" i="13" s="1"/>
  <c r="DE8" i="13"/>
  <c r="DY9" i="13"/>
  <c r="FG34" i="13"/>
  <c r="EZ35" i="13"/>
  <c r="CU8" i="12"/>
  <c r="CV8" i="12" s="1"/>
  <c r="CW8" i="12" s="1"/>
  <c r="BW8" i="12" s="1"/>
  <c r="CL8" i="12"/>
  <c r="CM8" i="12" s="1"/>
  <c r="CN8" i="12" s="1"/>
  <c r="DK8" i="12"/>
  <c r="DZ8" i="12"/>
  <c r="BD8" i="12" s="1"/>
  <c r="EI8" i="12"/>
  <c r="EJ8" i="12" s="1"/>
  <c r="DP8" i="12" s="1"/>
  <c r="DQ8" i="12" s="1"/>
  <c r="EV36" i="12"/>
  <c r="FH34" i="12"/>
  <c r="FB35" i="12"/>
  <c r="BD7" i="10"/>
  <c r="F23" i="10" s="1"/>
  <c r="BG7" i="10"/>
  <c r="F24" i="10" s="1"/>
  <c r="FA33" i="10"/>
  <c r="BW6" i="10"/>
  <c r="BF6" i="10"/>
  <c r="DY8" i="10"/>
  <c r="AG80" i="10"/>
  <c r="AH79" i="10"/>
  <c r="DP6" i="10"/>
  <c r="ES34" i="10"/>
  <c r="EP35" i="10"/>
  <c r="CV6" i="10"/>
  <c r="CB6" i="1"/>
  <c r="CH6" i="1" s="1"/>
  <c r="CQ6" i="1" s="1"/>
  <c r="CB28" i="1"/>
  <c r="CH28" i="1" s="1"/>
  <c r="CQ28" i="1" s="1"/>
  <c r="AI77" i="1"/>
  <c r="BE8" i="12" l="1"/>
  <c r="DU8" i="13"/>
  <c r="DV8" i="13" s="1"/>
  <c r="CB8" i="13"/>
  <c r="CZ8" i="13"/>
  <c r="DA8" i="13" s="1"/>
  <c r="DC8" i="13" s="1"/>
  <c r="BA8" i="13"/>
  <c r="F23" i="13" s="1"/>
  <c r="DF8" i="13"/>
  <c r="DG8" i="13" s="1"/>
  <c r="EA10" i="12"/>
  <c r="ED10" i="12" s="1"/>
  <c r="CX8" i="12"/>
  <c r="EA9" i="13"/>
  <c r="EW36" i="13"/>
  <c r="FA35" i="13"/>
  <c r="EL8" i="12"/>
  <c r="EP37" i="12" s="1"/>
  <c r="DL8" i="12"/>
  <c r="DN8" i="12" s="1"/>
  <c r="DR8" i="12" s="1"/>
  <c r="DT8" i="12" s="1"/>
  <c r="DU8" i="12" s="1"/>
  <c r="FI34" i="12"/>
  <c r="EW36" i="12"/>
  <c r="FC35" i="12"/>
  <c r="ET34" i="10"/>
  <c r="AG81" i="10"/>
  <c r="AH80" i="10"/>
  <c r="FB33" i="10"/>
  <c r="EQ35" i="10"/>
  <c r="DR6" i="10"/>
  <c r="DS6" i="10" s="1"/>
  <c r="AI78" i="1"/>
  <c r="DH8" i="13" l="1"/>
  <c r="EI8" i="13" s="1"/>
  <c r="EM37" i="13" s="1"/>
  <c r="DM8" i="12"/>
  <c r="DW8" i="13"/>
  <c r="BD8" i="13" s="1"/>
  <c r="EF8" i="13"/>
  <c r="EG8" i="13" s="1"/>
  <c r="DM8" i="13" s="1"/>
  <c r="DN8" i="13" s="1"/>
  <c r="CH8" i="13"/>
  <c r="CI8" i="13" s="1"/>
  <c r="CJ8" i="13" s="1"/>
  <c r="CK8" i="13" s="1"/>
  <c r="BC9" i="13"/>
  <c r="G24" i="13" s="1"/>
  <c r="BF9" i="13"/>
  <c r="G25" i="13" s="1"/>
  <c r="FB35" i="13"/>
  <c r="EX36" i="13"/>
  <c r="EP59" i="12"/>
  <c r="EP60" i="12" s="1"/>
  <c r="EN9" i="12" s="1"/>
  <c r="EQ37" i="12"/>
  <c r="ER37" i="12" s="1"/>
  <c r="ES37" i="12" s="1"/>
  <c r="FD35" i="12"/>
  <c r="DH9" i="12"/>
  <c r="DV8" i="12"/>
  <c r="BB8" i="12" s="1"/>
  <c r="BF10" i="12"/>
  <c r="H25" i="12" s="1"/>
  <c r="BC10" i="12"/>
  <c r="H24" i="12" s="1"/>
  <c r="EX36" i="12"/>
  <c r="FJ34" i="12"/>
  <c r="DF7" i="10"/>
  <c r="DT6" i="10"/>
  <c r="BC6" i="10" s="1"/>
  <c r="EU34" i="10"/>
  <c r="AG82" i="10"/>
  <c r="AH81" i="10"/>
  <c r="ER35" i="10"/>
  <c r="FC33" i="10"/>
  <c r="AI79" i="1"/>
  <c r="DI8" i="13" l="1"/>
  <c r="DK8" i="13" s="1"/>
  <c r="DO8" i="13" s="1"/>
  <c r="DQ8" i="13" s="1"/>
  <c r="DR8" i="13" s="1"/>
  <c r="CR8" i="13"/>
  <c r="CS8" i="13" s="1"/>
  <c r="CT8" i="13" s="1"/>
  <c r="BV8" i="13" s="1"/>
  <c r="EM59" i="13"/>
  <c r="EM60" i="13" s="1"/>
  <c r="EK9" i="13" s="1"/>
  <c r="EN37" i="13"/>
  <c r="EO37" i="13" s="1"/>
  <c r="EP37" i="13" s="1"/>
  <c r="EQ37" i="13" s="1"/>
  <c r="ER37" i="13" s="1"/>
  <c r="EY36" i="13"/>
  <c r="FC35" i="13"/>
  <c r="EY36" i="12"/>
  <c r="ET37" i="12"/>
  <c r="DI9" i="12"/>
  <c r="DJ9" i="12" s="1"/>
  <c r="CE9" i="12"/>
  <c r="DC9" i="12"/>
  <c r="DD9" i="12" s="1"/>
  <c r="DF9" i="12" s="1"/>
  <c r="DX9" i="12"/>
  <c r="DY9" i="12" s="1"/>
  <c r="BA9" i="12"/>
  <c r="G23" i="12" s="1"/>
  <c r="FE35" i="12"/>
  <c r="CC7" i="10"/>
  <c r="DV7" i="10"/>
  <c r="DW7" i="10" s="1"/>
  <c r="DG7" i="10"/>
  <c r="DH7" i="10" s="1"/>
  <c r="DA7" i="10"/>
  <c r="DB7" i="10" s="1"/>
  <c r="DD7" i="10" s="1"/>
  <c r="BB7" i="10"/>
  <c r="ES35" i="10"/>
  <c r="ER57" i="10"/>
  <c r="EK11" i="10" s="1"/>
  <c r="EV34" i="10"/>
  <c r="FD33" i="10"/>
  <c r="AG83" i="10"/>
  <c r="AH83" i="10" s="1"/>
  <c r="AH82" i="10"/>
  <c r="AI80" i="1"/>
  <c r="DX10" i="13" l="1"/>
  <c r="BE8" i="13"/>
  <c r="DJ8" i="13"/>
  <c r="CU8" i="13"/>
  <c r="DE9" i="13"/>
  <c r="DS8" i="13"/>
  <c r="BB8" i="13" s="1"/>
  <c r="DY10" i="13"/>
  <c r="CI9" i="13"/>
  <c r="CJ9" i="13" s="1"/>
  <c r="CK9" i="13" s="1"/>
  <c r="FD35" i="13"/>
  <c r="ES37" i="13"/>
  <c r="ER58" i="13"/>
  <c r="EJ13" i="13" s="1"/>
  <c r="EZ36" i="13"/>
  <c r="DZ9" i="12"/>
  <c r="BD9" i="12" s="1"/>
  <c r="EI9" i="12"/>
  <c r="EJ9" i="12" s="1"/>
  <c r="DP9" i="12" s="1"/>
  <c r="DK9" i="12"/>
  <c r="FF35" i="12"/>
  <c r="CK9" i="12"/>
  <c r="EU37" i="12"/>
  <c r="EZ36" i="12"/>
  <c r="DE7" i="10"/>
  <c r="FE33" i="10"/>
  <c r="EW34" i="10"/>
  <c r="F22" i="10"/>
  <c r="DX7" i="10"/>
  <c r="BE7" i="10" s="1"/>
  <c r="EG7" i="10"/>
  <c r="EH7" i="10" s="1"/>
  <c r="DN7" i="10" s="1"/>
  <c r="CI7" i="10"/>
  <c r="CS7" i="10" s="1"/>
  <c r="CT7" i="10" s="1"/>
  <c r="ET35" i="10"/>
  <c r="AI81" i="1"/>
  <c r="BA9" i="13" l="1"/>
  <c r="G23" i="13" s="1"/>
  <c r="CB9" i="13"/>
  <c r="DF9" i="13"/>
  <c r="DG9" i="13" s="1"/>
  <c r="DU9" i="13"/>
  <c r="DV9" i="13" s="1"/>
  <c r="CZ9" i="13"/>
  <c r="DA9" i="13" s="1"/>
  <c r="DC9" i="13" s="1"/>
  <c r="DY11" i="13"/>
  <c r="DY12" i="13" s="1"/>
  <c r="DY13" i="13" s="1"/>
  <c r="DY14" i="13" s="1"/>
  <c r="DY15" i="13" s="1"/>
  <c r="DY16" i="13" s="1"/>
  <c r="DY17" i="13" s="1"/>
  <c r="DY18" i="13" s="1"/>
  <c r="DY19" i="13" s="1"/>
  <c r="DY20" i="13" s="1"/>
  <c r="DY21" i="13" s="1"/>
  <c r="DY22" i="13" s="1"/>
  <c r="DY23" i="13" s="1"/>
  <c r="DY24" i="13" s="1"/>
  <c r="DY25" i="13" s="1"/>
  <c r="EA10" i="13"/>
  <c r="FA36" i="13"/>
  <c r="FE35" i="13"/>
  <c r="ET37" i="13"/>
  <c r="CU9" i="12"/>
  <c r="CV9" i="12" s="1"/>
  <c r="CW9" i="12" s="1"/>
  <c r="CX9" i="12" s="1"/>
  <c r="CL9" i="12"/>
  <c r="CM9" i="12" s="1"/>
  <c r="CN9" i="12" s="1"/>
  <c r="EV37" i="12"/>
  <c r="EU58" i="12"/>
  <c r="EM13" i="12" s="1"/>
  <c r="FA36" i="12"/>
  <c r="FG35" i="12"/>
  <c r="EL9" i="12"/>
  <c r="EQ38" i="12" s="1"/>
  <c r="DL9" i="12"/>
  <c r="DQ9" i="12"/>
  <c r="EX34" i="10"/>
  <c r="FF33" i="10"/>
  <c r="EU35" i="10"/>
  <c r="DO7" i="10"/>
  <c r="EJ7" i="10"/>
  <c r="EN36" i="10" s="1"/>
  <c r="DJ7" i="10"/>
  <c r="AI82" i="1"/>
  <c r="CU7" i="10"/>
  <c r="DH9" i="13" l="1"/>
  <c r="DI9" i="13" s="1"/>
  <c r="DK9" i="13" s="1"/>
  <c r="EF9" i="13"/>
  <c r="EG9" i="13" s="1"/>
  <c r="DM9" i="13" s="1"/>
  <c r="DN9" i="13" s="1"/>
  <c r="DW9" i="13"/>
  <c r="BD9" i="13" s="1"/>
  <c r="CH9" i="13"/>
  <c r="CR9" i="13" s="1"/>
  <c r="CS9" i="13" s="1"/>
  <c r="BC10" i="13"/>
  <c r="H24" i="13" s="1"/>
  <c r="BF10" i="13"/>
  <c r="H25" i="13" s="1"/>
  <c r="EU37" i="13"/>
  <c r="FB36" i="13"/>
  <c r="FF35" i="13"/>
  <c r="ER38" i="12"/>
  <c r="EQ59" i="12"/>
  <c r="EQ60" i="12" s="1"/>
  <c r="EN10" i="12" s="1"/>
  <c r="FB36" i="12"/>
  <c r="FH35" i="12"/>
  <c r="EW37" i="12"/>
  <c r="DN9" i="12"/>
  <c r="DR9" i="12" s="1"/>
  <c r="BW9" i="12"/>
  <c r="BE9" i="12"/>
  <c r="EA11" i="12"/>
  <c r="CV7" i="10"/>
  <c r="FG33" i="10"/>
  <c r="EV35" i="10"/>
  <c r="DL7" i="10"/>
  <c r="DP7" i="10" s="1"/>
  <c r="EY34" i="10"/>
  <c r="EO36" i="10"/>
  <c r="EN58" i="10"/>
  <c r="EN59" i="10" s="1"/>
  <c r="EL8" i="10" s="1"/>
  <c r="BW7" i="10"/>
  <c r="BF7" i="10"/>
  <c r="DY9" i="10"/>
  <c r="AI83" i="1"/>
  <c r="EI9" i="13" l="1"/>
  <c r="EN38" i="13" s="1"/>
  <c r="EN59" i="13" s="1"/>
  <c r="EN60" i="13" s="1"/>
  <c r="EK10" i="13" s="1"/>
  <c r="DJ9" i="13"/>
  <c r="CT9" i="13"/>
  <c r="CU9" i="13" s="1"/>
  <c r="DO9" i="13"/>
  <c r="DQ9" i="13" s="1"/>
  <c r="DR9" i="13" s="1"/>
  <c r="DS9" i="13" s="1"/>
  <c r="BB9" i="13" s="1"/>
  <c r="FC36" i="13"/>
  <c r="FG35" i="13"/>
  <c r="EV37" i="13"/>
  <c r="DT9" i="12"/>
  <c r="DU9" i="12" s="1"/>
  <c r="EX37" i="12"/>
  <c r="FI35" i="12"/>
  <c r="ED11" i="12"/>
  <c r="FC36" i="12"/>
  <c r="DM9" i="12"/>
  <c r="ES38" i="12"/>
  <c r="DR7" i="10"/>
  <c r="DS7" i="10" s="1"/>
  <c r="EW35" i="10"/>
  <c r="DK7" i="10"/>
  <c r="EP36" i="10"/>
  <c r="FH33" i="10"/>
  <c r="EZ34" i="10"/>
  <c r="AI84" i="1"/>
  <c r="EO38" i="13" l="1"/>
  <c r="EP38" i="13" s="1"/>
  <c r="EQ38" i="13" s="1"/>
  <c r="ER38" i="13" s="1"/>
  <c r="DE10" i="13"/>
  <c r="CB10" i="13" s="1"/>
  <c r="BV9" i="13"/>
  <c r="DX11" i="13"/>
  <c r="EA11" i="13" s="1"/>
  <c r="BE9" i="13"/>
  <c r="EW37" i="13"/>
  <c r="FD36" i="13"/>
  <c r="DH10" i="12"/>
  <c r="DV9" i="12"/>
  <c r="BB9" i="12" s="1"/>
  <c r="FD36" i="12"/>
  <c r="FJ35" i="12"/>
  <c r="BF11" i="12"/>
  <c r="I25" i="12" s="1"/>
  <c r="BC11" i="12"/>
  <c r="I24" i="12" s="1"/>
  <c r="ET38" i="12"/>
  <c r="EY37" i="12"/>
  <c r="DF8" i="10"/>
  <c r="DT7" i="10"/>
  <c r="BC7" i="10" s="1"/>
  <c r="EX35" i="10"/>
  <c r="EQ36" i="10"/>
  <c r="FA34" i="10"/>
  <c r="AI85" i="1"/>
  <c r="DU10" i="13" l="1"/>
  <c r="DV10" i="13" s="1"/>
  <c r="EF10" i="13" s="1"/>
  <c r="EG10" i="13" s="1"/>
  <c r="DM10" i="13" s="1"/>
  <c r="DF10" i="13"/>
  <c r="DG10" i="13" s="1"/>
  <c r="CZ10" i="13"/>
  <c r="DA10" i="13" s="1"/>
  <c r="DC10" i="13" s="1"/>
  <c r="BA10" i="13"/>
  <c r="H23" i="13" s="1"/>
  <c r="BF11" i="13"/>
  <c r="I25" i="13" s="1"/>
  <c r="BC11" i="13"/>
  <c r="I24" i="13" s="1"/>
  <c r="FE36" i="13"/>
  <c r="CH10" i="13"/>
  <c r="ES38" i="13"/>
  <c r="EX37" i="13"/>
  <c r="EZ37" i="12"/>
  <c r="EU38" i="12"/>
  <c r="FE36" i="12"/>
  <c r="DC10" i="12"/>
  <c r="DD10" i="12" s="1"/>
  <c r="DF10" i="12" s="1"/>
  <c r="DI10" i="12"/>
  <c r="DJ10" i="12" s="1"/>
  <c r="CE10" i="12"/>
  <c r="DX10" i="12"/>
  <c r="DY10" i="12" s="1"/>
  <c r="BA10" i="12"/>
  <c r="H23" i="12" s="1"/>
  <c r="ER36" i="10"/>
  <c r="EY35" i="10"/>
  <c r="FB34" i="10"/>
  <c r="CC8" i="10"/>
  <c r="DV8" i="10"/>
  <c r="DW8" i="10" s="1"/>
  <c r="DZ8" i="10" s="1"/>
  <c r="DG8" i="10"/>
  <c r="DH8" i="10" s="1"/>
  <c r="DA8" i="10"/>
  <c r="DB8" i="10" s="1"/>
  <c r="DD8" i="10" s="1"/>
  <c r="AI86" i="1"/>
  <c r="DW10" i="13" l="1"/>
  <c r="BD10" i="13" s="1"/>
  <c r="DH10" i="13"/>
  <c r="EI10" i="13" s="1"/>
  <c r="EO39" i="13" s="1"/>
  <c r="CR10" i="13"/>
  <c r="CS10" i="13" s="1"/>
  <c r="CT10" i="13" s="1"/>
  <c r="CI10" i="13"/>
  <c r="CJ10" i="13" s="1"/>
  <c r="CK10" i="13" s="1"/>
  <c r="EY37" i="13"/>
  <c r="DN10" i="13"/>
  <c r="ET38" i="13"/>
  <c r="ES58" i="13"/>
  <c r="EJ14" i="13" s="1"/>
  <c r="FF36" i="13"/>
  <c r="DK10" i="12"/>
  <c r="FF36" i="12"/>
  <c r="DZ10" i="12"/>
  <c r="BD10" i="12" s="1"/>
  <c r="EI10" i="12"/>
  <c r="EJ10" i="12" s="1"/>
  <c r="DP10" i="12" s="1"/>
  <c r="EV38" i="12"/>
  <c r="FA37" i="12"/>
  <c r="CK10" i="12"/>
  <c r="DZ9" i="10"/>
  <c r="EB8" i="10"/>
  <c r="DE8" i="10"/>
  <c r="EJ8" i="10" s="1"/>
  <c r="EO37" i="10" s="1"/>
  <c r="DX8" i="10"/>
  <c r="EG8" i="10"/>
  <c r="EH8" i="10" s="1"/>
  <c r="DN8" i="10" s="1"/>
  <c r="EZ35" i="10"/>
  <c r="FC34" i="10"/>
  <c r="CI8" i="10"/>
  <c r="CS8" i="10" s="1"/>
  <c r="CT8" i="10" s="1"/>
  <c r="ES36" i="10"/>
  <c r="AI87" i="1"/>
  <c r="DI10" i="13" l="1"/>
  <c r="DK10" i="13" s="1"/>
  <c r="DJ10" i="13" s="1"/>
  <c r="EP39" i="13"/>
  <c r="EQ39" i="13" s="1"/>
  <c r="ER39" i="13" s="1"/>
  <c r="ES39" i="13" s="1"/>
  <c r="ET39" i="13" s="1"/>
  <c r="EU39" i="13" s="1"/>
  <c r="EV39" i="13" s="1"/>
  <c r="EW39" i="13" s="1"/>
  <c r="EX39" i="13" s="1"/>
  <c r="EY39" i="13" s="1"/>
  <c r="EZ39" i="13" s="1"/>
  <c r="FA39" i="13" s="1"/>
  <c r="FB39" i="13" s="1"/>
  <c r="FC39" i="13" s="1"/>
  <c r="FD39" i="13" s="1"/>
  <c r="FE39" i="13" s="1"/>
  <c r="FF39" i="13" s="1"/>
  <c r="FG39" i="13" s="1"/>
  <c r="EO59" i="13"/>
  <c r="EO60" i="13" s="1"/>
  <c r="EK11" i="13" s="1"/>
  <c r="EZ37" i="13"/>
  <c r="FG36" i="13"/>
  <c r="EU38" i="13"/>
  <c r="BV10" i="13"/>
  <c r="BE10" i="13"/>
  <c r="DX12" i="13"/>
  <c r="CU10" i="13"/>
  <c r="CU10" i="12"/>
  <c r="CV10" i="12" s="1"/>
  <c r="CW10" i="12" s="1"/>
  <c r="CX10" i="12" s="1"/>
  <c r="CL10" i="12"/>
  <c r="CM10" i="12" s="1"/>
  <c r="CN10" i="12" s="1"/>
  <c r="FB37" i="12"/>
  <c r="DQ10" i="12"/>
  <c r="FG36" i="12"/>
  <c r="EW38" i="12"/>
  <c r="EV58" i="12"/>
  <c r="EM14" i="12" s="1"/>
  <c r="EL10" i="12"/>
  <c r="ER39" i="12" s="1"/>
  <c r="DL10" i="12"/>
  <c r="BE8" i="10"/>
  <c r="BD8" i="10"/>
  <c r="G23" i="10" s="1"/>
  <c r="BG8" i="10"/>
  <c r="G24" i="10" s="1"/>
  <c r="BB8" i="10"/>
  <c r="G22" i="10" s="1"/>
  <c r="DZ10" i="10"/>
  <c r="DZ11" i="10" s="1"/>
  <c r="DZ12" i="10" s="1"/>
  <c r="DZ13" i="10" s="1"/>
  <c r="DZ14" i="10" s="1"/>
  <c r="DZ15" i="10" s="1"/>
  <c r="DZ16" i="10" s="1"/>
  <c r="DZ17" i="10" s="1"/>
  <c r="DZ18" i="10" s="1"/>
  <c r="DZ19" i="10" s="1"/>
  <c r="DZ20" i="10" s="1"/>
  <c r="DZ21" i="10" s="1"/>
  <c r="DZ22" i="10" s="1"/>
  <c r="DZ23" i="10" s="1"/>
  <c r="EB9" i="10"/>
  <c r="DJ8" i="10"/>
  <c r="DL8" i="10" s="1"/>
  <c r="EP37" i="10"/>
  <c r="EQ37" i="10" s="1"/>
  <c r="EO58" i="10"/>
  <c r="EO59" i="10" s="1"/>
  <c r="EL9" i="10" s="1"/>
  <c r="DO8" i="10"/>
  <c r="ET36" i="10"/>
  <c r="ES57" i="10"/>
  <c r="EK12" i="10" s="1"/>
  <c r="FD34" i="10"/>
  <c r="FA35" i="10"/>
  <c r="AI88" i="1"/>
  <c r="CU8" i="10"/>
  <c r="DO10" i="13" l="1"/>
  <c r="DQ10" i="13" s="1"/>
  <c r="DR10" i="13" s="1"/>
  <c r="ET58" i="13"/>
  <c r="EJ15" i="13" s="1"/>
  <c r="EV38" i="13"/>
  <c r="EA12" i="13"/>
  <c r="FA37" i="13"/>
  <c r="FH36" i="12"/>
  <c r="ES39" i="12"/>
  <c r="ET39" i="12" s="1"/>
  <c r="EU39" i="12" s="1"/>
  <c r="EV39" i="12" s="1"/>
  <c r="EW39" i="12" s="1"/>
  <c r="EX39" i="12" s="1"/>
  <c r="EY39" i="12" s="1"/>
  <c r="EZ39" i="12" s="1"/>
  <c r="FA39" i="12" s="1"/>
  <c r="FB39" i="12" s="1"/>
  <c r="FC39" i="12" s="1"/>
  <c r="FD39" i="12" s="1"/>
  <c r="FE39" i="12" s="1"/>
  <c r="FF39" i="12" s="1"/>
  <c r="FG39" i="12" s="1"/>
  <c r="FH39" i="12" s="1"/>
  <c r="FI39" i="12" s="1"/>
  <c r="FJ39" i="12" s="1"/>
  <c r="ER59" i="12"/>
  <c r="ER60" i="12" s="1"/>
  <c r="EN11" i="12" s="1"/>
  <c r="EX38" i="12"/>
  <c r="BW10" i="12"/>
  <c r="BE10" i="12"/>
  <c r="EA12" i="12"/>
  <c r="DN10" i="12"/>
  <c r="DR10" i="12" s="1"/>
  <c r="FC37" i="12"/>
  <c r="BD9" i="10"/>
  <c r="H23" i="10" s="1"/>
  <c r="BG9" i="10"/>
  <c r="H24" i="10" s="1"/>
  <c r="CV8" i="10"/>
  <c r="DP8" i="10"/>
  <c r="DR8" i="10" s="1"/>
  <c r="DS8" i="10" s="1"/>
  <c r="DK8" i="10"/>
  <c r="ER37" i="10"/>
  <c r="FE34" i="10"/>
  <c r="FB35" i="10"/>
  <c r="EU36" i="10"/>
  <c r="BW8" i="10"/>
  <c r="BF8" i="10"/>
  <c r="DY10" i="10"/>
  <c r="AI89" i="1"/>
  <c r="DE11" i="13" l="1"/>
  <c r="DS10" i="13"/>
  <c r="BB10" i="13" s="1"/>
  <c r="EW38" i="13"/>
  <c r="BF12" i="13"/>
  <c r="J25" i="13" s="1"/>
  <c r="BC12" i="13"/>
  <c r="J24" i="13" s="1"/>
  <c r="FB37" i="13"/>
  <c r="ED12" i="12"/>
  <c r="DT10" i="12"/>
  <c r="DU10" i="12" s="1"/>
  <c r="EY38" i="12"/>
  <c r="EW58" i="12"/>
  <c r="EM15" i="12" s="1"/>
  <c r="FD37" i="12"/>
  <c r="DM10" i="12"/>
  <c r="FI36" i="12"/>
  <c r="DF9" i="10"/>
  <c r="DT8" i="10"/>
  <c r="BC8" i="10" s="1"/>
  <c r="EV36" i="10"/>
  <c r="FF34" i="10"/>
  <c r="FC35" i="10"/>
  <c r="EB10" i="10"/>
  <c r="ES37" i="10"/>
  <c r="AH91" i="1"/>
  <c r="AI90" i="1"/>
  <c r="EX38" i="13" l="1"/>
  <c r="FC37" i="13"/>
  <c r="CZ11" i="13"/>
  <c r="DA11" i="13" s="1"/>
  <c r="DC11" i="13" s="1"/>
  <c r="DU11" i="13"/>
  <c r="DV11" i="13" s="1"/>
  <c r="DF11" i="13"/>
  <c r="DG11" i="13" s="1"/>
  <c r="CB11" i="13"/>
  <c r="BA11" i="13"/>
  <c r="I23" i="13" s="1"/>
  <c r="DH11" i="12"/>
  <c r="DV10" i="12"/>
  <c r="BB10" i="12" s="1"/>
  <c r="EZ38" i="12"/>
  <c r="BC12" i="12"/>
  <c r="J24" i="12" s="1"/>
  <c r="BF12" i="12"/>
  <c r="J25" i="12" s="1"/>
  <c r="FE37" i="12"/>
  <c r="FJ36" i="12"/>
  <c r="EW36" i="10"/>
  <c r="ET37" i="10"/>
  <c r="FG34" i="10"/>
  <c r="BG10" i="10"/>
  <c r="I24" i="10" s="1"/>
  <c r="BD10" i="10"/>
  <c r="I23" i="10" s="1"/>
  <c r="FD35" i="10"/>
  <c r="CC9" i="10"/>
  <c r="DV9" i="10"/>
  <c r="DW9" i="10" s="1"/>
  <c r="DA9" i="10"/>
  <c r="DB9" i="10" s="1"/>
  <c r="DD9" i="10" s="1"/>
  <c r="DG9" i="10"/>
  <c r="DH9" i="10" s="1"/>
  <c r="BB9" i="10"/>
  <c r="H22" i="10" s="1"/>
  <c r="AH92" i="1"/>
  <c r="AI91" i="1"/>
  <c r="FD37" i="13" l="1"/>
  <c r="DH11" i="13"/>
  <c r="CH11" i="13"/>
  <c r="CI11" i="13" s="1"/>
  <c r="CJ11" i="13" s="1"/>
  <c r="CK11" i="13" s="1"/>
  <c r="EF11" i="13"/>
  <c r="EG11" i="13" s="1"/>
  <c r="DM11" i="13" s="1"/>
  <c r="DN11" i="13" s="1"/>
  <c r="DW11" i="13"/>
  <c r="BD11" i="13" s="1"/>
  <c r="EY38" i="13"/>
  <c r="FF37" i="12"/>
  <c r="FA38" i="12"/>
  <c r="DX11" i="12"/>
  <c r="DY11" i="12" s="1"/>
  <c r="DI11" i="12"/>
  <c r="DJ11" i="12" s="1"/>
  <c r="CE11" i="12"/>
  <c r="DC11" i="12"/>
  <c r="DD11" i="12" s="1"/>
  <c r="DF11" i="12" s="1"/>
  <c r="BA11" i="12"/>
  <c r="I23" i="12" s="1"/>
  <c r="DE9" i="10"/>
  <c r="EU37" i="10"/>
  <c r="ET57" i="10"/>
  <c r="EK13" i="10" s="1"/>
  <c r="FE35" i="10"/>
  <c r="DX9" i="10"/>
  <c r="BE9" i="10" s="1"/>
  <c r="EG9" i="10"/>
  <c r="EH9" i="10" s="1"/>
  <c r="DN9" i="10" s="1"/>
  <c r="CI9" i="10"/>
  <c r="FH34" i="10"/>
  <c r="EX36" i="10"/>
  <c r="AH93" i="1"/>
  <c r="AI93" i="1" s="1"/>
  <c r="AI92" i="1"/>
  <c r="CR11" i="13" l="1"/>
  <c r="CS11" i="13" s="1"/>
  <c r="EI11" i="13"/>
  <c r="EP40" i="13" s="1"/>
  <c r="DI11" i="13"/>
  <c r="EZ38" i="13"/>
  <c r="FE37" i="13"/>
  <c r="DK11" i="12"/>
  <c r="EL11" i="12" s="1"/>
  <c r="ES40" i="12" s="1"/>
  <c r="ET40" i="12" s="1"/>
  <c r="EU40" i="12" s="1"/>
  <c r="EV40" i="12" s="1"/>
  <c r="EW40" i="12" s="1"/>
  <c r="EX40" i="12" s="1"/>
  <c r="CK11" i="12"/>
  <c r="CL11" i="12" s="1"/>
  <c r="CM11" i="12" s="1"/>
  <c r="CN11" i="12" s="1"/>
  <c r="FB38" i="12"/>
  <c r="EI11" i="12"/>
  <c r="EJ11" i="12" s="1"/>
  <c r="DP11" i="12" s="1"/>
  <c r="DQ11" i="12" s="1"/>
  <c r="DZ11" i="12"/>
  <c r="BD11" i="12" s="1"/>
  <c r="FG37" i="12"/>
  <c r="CS9" i="10"/>
  <c r="CT9" i="10" s="1"/>
  <c r="CU9" i="10" s="1"/>
  <c r="CJ9" i="10"/>
  <c r="CK9" i="10" s="1"/>
  <c r="CL9" i="10" s="1"/>
  <c r="DO9" i="10"/>
  <c r="FF35" i="10"/>
  <c r="EY36" i="10"/>
  <c r="EJ9" i="10"/>
  <c r="EP38" i="10" s="1"/>
  <c r="DJ9" i="10"/>
  <c r="EV37" i="10"/>
  <c r="M32" i="2"/>
  <c r="M33" i="2"/>
  <c r="M34" i="2"/>
  <c r="M35" i="2"/>
  <c r="M36" i="2"/>
  <c r="M37" i="2"/>
  <c r="M38" i="2"/>
  <c r="M39" i="2"/>
  <c r="M40" i="2"/>
  <c r="M41" i="2"/>
  <c r="M42" i="2"/>
  <c r="M43" i="2"/>
  <c r="M44" i="2"/>
  <c r="M45" i="2"/>
  <c r="M46" i="2"/>
  <c r="M47" i="2"/>
  <c r="M48" i="2"/>
  <c r="M49" i="2"/>
  <c r="M50" i="2"/>
  <c r="M51" i="2"/>
  <c r="M52" i="2"/>
  <c r="M53" i="2"/>
  <c r="M54" i="2"/>
  <c r="M55" i="2"/>
  <c r="DK11" i="13" l="1"/>
  <c r="DO11" i="13" s="1"/>
  <c r="EQ40" i="13"/>
  <c r="ER40" i="13" s="1"/>
  <c r="ES40" i="13" s="1"/>
  <c r="ET40" i="13" s="1"/>
  <c r="EU40" i="13" s="1"/>
  <c r="EP59" i="13"/>
  <c r="EP60" i="13" s="1"/>
  <c r="EK12" i="13" s="1"/>
  <c r="FF37" i="13"/>
  <c r="FA38" i="13"/>
  <c r="CT11" i="13"/>
  <c r="DL11" i="12"/>
  <c r="DN11" i="12" s="1"/>
  <c r="DR11" i="12" s="1"/>
  <c r="ES59" i="12"/>
  <c r="ES60" i="12" s="1"/>
  <c r="EN12" i="12" s="1"/>
  <c r="FH37" i="12"/>
  <c r="FC38" i="12"/>
  <c r="EY40" i="12"/>
  <c r="EZ40" i="12" s="1"/>
  <c r="FA40" i="12" s="1"/>
  <c r="FB40" i="12" s="1"/>
  <c r="FC40" i="12" s="1"/>
  <c r="FD40" i="12" s="1"/>
  <c r="FE40" i="12" s="1"/>
  <c r="FF40" i="12" s="1"/>
  <c r="FG40" i="12" s="1"/>
  <c r="FH40" i="12" s="1"/>
  <c r="FI40" i="12" s="1"/>
  <c r="FJ40" i="12" s="1"/>
  <c r="EX58" i="12"/>
  <c r="EM16" i="12" s="1"/>
  <c r="CU11" i="12"/>
  <c r="CV11" i="12" s="1"/>
  <c r="CV9" i="10"/>
  <c r="EZ36" i="10"/>
  <c r="EW37" i="10"/>
  <c r="DL9" i="10"/>
  <c r="DP9" i="10" s="1"/>
  <c r="EQ38" i="10"/>
  <c r="ER38" i="10" s="1"/>
  <c r="ES38" i="10" s="1"/>
  <c r="ET38" i="10" s="1"/>
  <c r="EU38" i="10" s="1"/>
  <c r="EP58" i="10"/>
  <c r="EP59" i="10" s="1"/>
  <c r="EL10" i="10" s="1"/>
  <c r="FG35" i="10"/>
  <c r="BW9" i="10"/>
  <c r="BF9" i="10"/>
  <c r="DY11" i="10"/>
  <c r="I139" i="2"/>
  <c r="M139" i="2" s="1"/>
  <c r="K139" i="2"/>
  <c r="L139" i="2"/>
  <c r="G139" i="2"/>
  <c r="N139" i="2" s="1"/>
  <c r="FB38" i="13" l="1"/>
  <c r="EV40" i="13"/>
  <c r="EW40" i="13" s="1"/>
  <c r="EX40" i="13" s="1"/>
  <c r="EY40" i="13" s="1"/>
  <c r="EZ40" i="13" s="1"/>
  <c r="FA40" i="13" s="1"/>
  <c r="FB40" i="13" s="1"/>
  <c r="FC40" i="13" s="1"/>
  <c r="FD40" i="13" s="1"/>
  <c r="FE40" i="13" s="1"/>
  <c r="FF40" i="13" s="1"/>
  <c r="FG40" i="13" s="1"/>
  <c r="EU58" i="13"/>
  <c r="EJ16" i="13" s="1"/>
  <c r="FG37" i="13"/>
  <c r="BV11" i="13"/>
  <c r="BE11" i="13"/>
  <c r="DX13" i="13"/>
  <c r="DQ11" i="13"/>
  <c r="DR11" i="13" s="1"/>
  <c r="CU11" i="13"/>
  <c r="DJ11" i="13"/>
  <c r="DM11" i="12"/>
  <c r="CW11" i="12"/>
  <c r="FD38" i="12"/>
  <c r="DT11" i="12"/>
  <c r="DU11" i="12" s="1"/>
  <c r="FI37" i="12"/>
  <c r="DR9" i="10"/>
  <c r="DS9" i="10" s="1"/>
  <c r="EX37" i="10"/>
  <c r="EB11" i="10"/>
  <c r="FH35" i="10"/>
  <c r="DK9" i="10"/>
  <c r="EV38" i="10"/>
  <c r="EW38" i="10" s="1"/>
  <c r="EX38" i="10" s="1"/>
  <c r="EY38" i="10" s="1"/>
  <c r="EZ38" i="10" s="1"/>
  <c r="FA38" i="10" s="1"/>
  <c r="FB38" i="10" s="1"/>
  <c r="FC38" i="10" s="1"/>
  <c r="FD38" i="10" s="1"/>
  <c r="FE38" i="10" s="1"/>
  <c r="FF38" i="10" s="1"/>
  <c r="FG38" i="10" s="1"/>
  <c r="FH38" i="10" s="1"/>
  <c r="EU57" i="10"/>
  <c r="EK14" i="10" s="1"/>
  <c r="FA36" i="10"/>
  <c r="DM8" i="1"/>
  <c r="DE12" i="13" l="1"/>
  <c r="DS11" i="13"/>
  <c r="BB11" i="13" s="1"/>
  <c r="EA13" i="13"/>
  <c r="FC38" i="13"/>
  <c r="FJ37" i="12"/>
  <c r="DH12" i="12"/>
  <c r="DV11" i="12"/>
  <c r="BB11" i="12" s="1"/>
  <c r="FE38" i="12"/>
  <c r="BW11" i="12"/>
  <c r="BE11" i="12"/>
  <c r="EA13" i="12"/>
  <c r="CX11" i="12"/>
  <c r="DF10" i="10"/>
  <c r="DT9" i="10"/>
  <c r="BC9" i="10" s="1"/>
  <c r="EY37" i="10"/>
  <c r="FB36" i="10"/>
  <c r="BD11" i="10"/>
  <c r="J23" i="10" s="1"/>
  <c r="BG11" i="10"/>
  <c r="J24" i="10" s="1"/>
  <c r="DM27" i="1"/>
  <c r="DM11" i="1"/>
  <c r="DM7" i="1"/>
  <c r="DM6" i="1"/>
  <c r="BD6" i="1" s="1"/>
  <c r="E24" i="1" s="1"/>
  <c r="DM26" i="1"/>
  <c r="DM10" i="1"/>
  <c r="DM5" i="1"/>
  <c r="DM13" i="1"/>
  <c r="DM9" i="1"/>
  <c r="DM14" i="1"/>
  <c r="DM28" i="1"/>
  <c r="DM12" i="1"/>
  <c r="BF13" i="13" l="1"/>
  <c r="K25" i="13" s="1"/>
  <c r="BC13" i="13"/>
  <c r="K24" i="13" s="1"/>
  <c r="FD38" i="13"/>
  <c r="DF12" i="13"/>
  <c r="DG12" i="13" s="1"/>
  <c r="DU12" i="13"/>
  <c r="DV12" i="13" s="1"/>
  <c r="CB12" i="13"/>
  <c r="CZ12" i="13"/>
  <c r="DA12" i="13" s="1"/>
  <c r="DC12" i="13" s="1"/>
  <c r="BA12" i="13"/>
  <c r="J23" i="13" s="1"/>
  <c r="ED13" i="12"/>
  <c r="FF38" i="12"/>
  <c r="DX12" i="12"/>
  <c r="DY12" i="12" s="1"/>
  <c r="DI12" i="12"/>
  <c r="DJ12" i="12" s="1"/>
  <c r="DC12" i="12"/>
  <c r="DD12" i="12" s="1"/>
  <c r="DF12" i="12" s="1"/>
  <c r="CE12" i="12"/>
  <c r="BA12" i="12"/>
  <c r="J23" i="12" s="1"/>
  <c r="FC36" i="10"/>
  <c r="EZ37" i="10"/>
  <c r="CC10" i="10"/>
  <c r="DV10" i="10"/>
  <c r="DW10" i="10" s="1"/>
  <c r="DA10" i="10"/>
  <c r="DB10" i="10" s="1"/>
  <c r="DD10" i="10" s="1"/>
  <c r="DG10" i="10"/>
  <c r="DH10" i="10" s="1"/>
  <c r="BB10" i="10"/>
  <c r="I22" i="10" s="1"/>
  <c r="BD5" i="1"/>
  <c r="DM30" i="1"/>
  <c r="O279" i="2"/>
  <c r="K279" i="2"/>
  <c r="J279" i="2"/>
  <c r="H279" i="2"/>
  <c r="O251" i="2"/>
  <c r="K251" i="2"/>
  <c r="J251" i="2"/>
  <c r="H251" i="2"/>
  <c r="O223" i="2"/>
  <c r="K223" i="2"/>
  <c r="J223" i="2"/>
  <c r="H223" i="2"/>
  <c r="O195" i="2"/>
  <c r="K195" i="2"/>
  <c r="J195" i="2"/>
  <c r="O167" i="2"/>
  <c r="K167" i="2"/>
  <c r="J167" i="2"/>
  <c r="H167" i="2"/>
  <c r="K111" i="2"/>
  <c r="J111" i="2"/>
  <c r="G111" i="2"/>
  <c r="K83" i="2"/>
  <c r="J83" i="2"/>
  <c r="BQ29" i="1"/>
  <c r="BR29" i="1" s="1"/>
  <c r="D54" i="11" s="1"/>
  <c r="G83" i="2"/>
  <c r="J55" i="2"/>
  <c r="K55" i="2"/>
  <c r="CD29" i="13" s="1"/>
  <c r="CE29" i="13" s="1"/>
  <c r="BS28" i="10"/>
  <c r="CF29" i="13" l="1"/>
  <c r="CI29" i="13"/>
  <c r="CJ29" i="13" s="1"/>
  <c r="CK29" i="13" s="1"/>
  <c r="CQ29" i="13"/>
  <c r="CH12" i="13"/>
  <c r="CI12" i="13" s="1"/>
  <c r="CJ12" i="13" s="1"/>
  <c r="CK12" i="13" s="1"/>
  <c r="FE38" i="13"/>
  <c r="DH12" i="13"/>
  <c r="DW12" i="13"/>
  <c r="BD12" i="13" s="1"/>
  <c r="EF12" i="13"/>
  <c r="EG12" i="13" s="1"/>
  <c r="DM12" i="13" s="1"/>
  <c r="DN12" i="13" s="1"/>
  <c r="CE28" i="10"/>
  <c r="CF28" i="10" s="1"/>
  <c r="CG29" i="12"/>
  <c r="CH29" i="12" s="1"/>
  <c r="DK12" i="12"/>
  <c r="EL12" i="12" s="1"/>
  <c r="ET41" i="12" s="1"/>
  <c r="ET59" i="12" s="1"/>
  <c r="ET60" i="12" s="1"/>
  <c r="EN13" i="12" s="1"/>
  <c r="CK12" i="12"/>
  <c r="CL12" i="12" s="1"/>
  <c r="CM12" i="12" s="1"/>
  <c r="CN12" i="12" s="1"/>
  <c r="FG38" i="12"/>
  <c r="DZ12" i="12"/>
  <c r="BD12" i="12" s="1"/>
  <c r="EI12" i="12"/>
  <c r="EJ12" i="12" s="1"/>
  <c r="DP12" i="12" s="1"/>
  <c r="DQ12" i="12" s="1"/>
  <c r="BF13" i="12"/>
  <c r="K25" i="12" s="1"/>
  <c r="BC13" i="12"/>
  <c r="K24" i="12" s="1"/>
  <c r="CJ28" i="10"/>
  <c r="CK28" i="10" s="1"/>
  <c r="CG28" i="10"/>
  <c r="CW28" i="10" s="1"/>
  <c r="BT28" i="10"/>
  <c r="CA28" i="10"/>
  <c r="EG10" i="10"/>
  <c r="EH10" i="10" s="1"/>
  <c r="DN10" i="10" s="1"/>
  <c r="DO10" i="10" s="1"/>
  <c r="DX10" i="10"/>
  <c r="BE10" i="10" s="1"/>
  <c r="FA37" i="10"/>
  <c r="CI10" i="10"/>
  <c r="CJ10" i="10" s="1"/>
  <c r="CK10" i="10" s="1"/>
  <c r="FD36" i="10"/>
  <c r="CE29" i="1"/>
  <c r="CF29" i="1" s="1"/>
  <c r="CG29" i="1" s="1"/>
  <c r="CW29" i="1" s="1"/>
  <c r="BS29" i="1"/>
  <c r="BT29" i="1" s="1"/>
  <c r="BX29" i="1" s="1"/>
  <c r="J54" i="7"/>
  <c r="ED29" i="1"/>
  <c r="EE29" i="1" s="1"/>
  <c r="EF29" i="1" s="1"/>
  <c r="N88" i="2"/>
  <c r="N89" i="2"/>
  <c r="N90" i="2"/>
  <c r="N91" i="2"/>
  <c r="N92" i="2"/>
  <c r="N93" i="2"/>
  <c r="N94" i="2"/>
  <c r="N95" i="2"/>
  <c r="N96" i="2"/>
  <c r="N97" i="2"/>
  <c r="N98" i="2"/>
  <c r="N99" i="2"/>
  <c r="N100" i="2"/>
  <c r="N101" i="2"/>
  <c r="N102" i="2"/>
  <c r="N103" i="2"/>
  <c r="N104" i="2"/>
  <c r="N105" i="2"/>
  <c r="N106" i="2"/>
  <c r="N107" i="2"/>
  <c r="N108" i="2"/>
  <c r="N109" i="2"/>
  <c r="N110" i="2"/>
  <c r="N116" i="2"/>
  <c r="N117" i="2"/>
  <c r="N118" i="2"/>
  <c r="N119" i="2"/>
  <c r="N120" i="2"/>
  <c r="N121" i="2"/>
  <c r="N122" i="2"/>
  <c r="N123" i="2"/>
  <c r="N124" i="2"/>
  <c r="N125" i="2"/>
  <c r="N126" i="2"/>
  <c r="N127" i="2"/>
  <c r="N128" i="2"/>
  <c r="N129" i="2"/>
  <c r="N130" i="2"/>
  <c r="N131" i="2"/>
  <c r="N132" i="2"/>
  <c r="N133" i="2"/>
  <c r="N134" i="2"/>
  <c r="N135" i="2"/>
  <c r="N136" i="2"/>
  <c r="N137" i="2"/>
  <c r="N138" i="2"/>
  <c r="N144" i="2"/>
  <c r="N145" i="2"/>
  <c r="N146" i="2"/>
  <c r="N147" i="2"/>
  <c r="N148" i="2"/>
  <c r="N149" i="2"/>
  <c r="N150" i="2"/>
  <c r="N151" i="2"/>
  <c r="N152" i="2"/>
  <c r="N153" i="2"/>
  <c r="N154" i="2"/>
  <c r="N155" i="2"/>
  <c r="N156" i="2"/>
  <c r="N157" i="2"/>
  <c r="N158" i="2"/>
  <c r="N159" i="2"/>
  <c r="N160" i="2"/>
  <c r="N161" i="2"/>
  <c r="N162" i="2"/>
  <c r="N163" i="2"/>
  <c r="N164" i="2"/>
  <c r="N165" i="2"/>
  <c r="N166" i="2"/>
  <c r="N172" i="2"/>
  <c r="H172" i="2" s="1"/>
  <c r="N173" i="2"/>
  <c r="H173" i="2" s="1"/>
  <c r="N174" i="2"/>
  <c r="H174" i="2" s="1"/>
  <c r="N175" i="2"/>
  <c r="H175" i="2" s="1"/>
  <c r="N176" i="2"/>
  <c r="H176" i="2" s="1"/>
  <c r="N177" i="2"/>
  <c r="H177" i="2" s="1"/>
  <c r="N178" i="2"/>
  <c r="H178" i="2" s="1"/>
  <c r="N179" i="2"/>
  <c r="H179" i="2" s="1"/>
  <c r="N180" i="2"/>
  <c r="H180" i="2" s="1"/>
  <c r="N181" i="2"/>
  <c r="H181" i="2" s="1"/>
  <c r="N182" i="2"/>
  <c r="H182" i="2" s="1"/>
  <c r="N183" i="2"/>
  <c r="H183" i="2" s="1"/>
  <c r="N184" i="2"/>
  <c r="H184" i="2" s="1"/>
  <c r="N185" i="2"/>
  <c r="H185" i="2" s="1"/>
  <c r="N186" i="2"/>
  <c r="H186" i="2" s="1"/>
  <c r="N187" i="2"/>
  <c r="H187" i="2" s="1"/>
  <c r="N188" i="2"/>
  <c r="H188" i="2" s="1"/>
  <c r="N189" i="2"/>
  <c r="H189" i="2" s="1"/>
  <c r="N190" i="2"/>
  <c r="H190" i="2" s="1"/>
  <c r="N191" i="2"/>
  <c r="H191" i="2" s="1"/>
  <c r="N192" i="2"/>
  <c r="H192" i="2" s="1"/>
  <c r="N193" i="2"/>
  <c r="H193" i="2" s="1"/>
  <c r="N194" i="2"/>
  <c r="H194" i="2" s="1"/>
  <c r="N200" i="2"/>
  <c r="N201" i="2"/>
  <c r="N202" i="2"/>
  <c r="N203" i="2"/>
  <c r="N204" i="2"/>
  <c r="N205" i="2"/>
  <c r="N206" i="2"/>
  <c r="N207" i="2"/>
  <c r="N208" i="2"/>
  <c r="N209" i="2"/>
  <c r="N210" i="2"/>
  <c r="N211" i="2"/>
  <c r="N212" i="2"/>
  <c r="N213" i="2"/>
  <c r="N214" i="2"/>
  <c r="N215" i="2"/>
  <c r="N216" i="2"/>
  <c r="N217" i="2"/>
  <c r="N218" i="2"/>
  <c r="N219" i="2"/>
  <c r="N220" i="2"/>
  <c r="N221" i="2"/>
  <c r="N222" i="2"/>
  <c r="N228" i="2"/>
  <c r="N229" i="2"/>
  <c r="N230" i="2"/>
  <c r="N231" i="2"/>
  <c r="N232" i="2"/>
  <c r="N233" i="2"/>
  <c r="N234" i="2"/>
  <c r="N235" i="2"/>
  <c r="N236" i="2"/>
  <c r="N237" i="2"/>
  <c r="N238" i="2"/>
  <c r="N239" i="2"/>
  <c r="N240" i="2"/>
  <c r="N241" i="2"/>
  <c r="N242" i="2"/>
  <c r="N243" i="2"/>
  <c r="N244" i="2"/>
  <c r="N245" i="2"/>
  <c r="N246" i="2"/>
  <c r="N247" i="2"/>
  <c r="N248" i="2"/>
  <c r="N249" i="2"/>
  <c r="N250" i="2"/>
  <c r="N256" i="2"/>
  <c r="N257" i="2"/>
  <c r="N258" i="2"/>
  <c r="N259" i="2"/>
  <c r="N260" i="2"/>
  <c r="N261" i="2"/>
  <c r="N262" i="2"/>
  <c r="N263" i="2"/>
  <c r="N264" i="2"/>
  <c r="N265" i="2"/>
  <c r="N266" i="2"/>
  <c r="N267" i="2"/>
  <c r="N268" i="2"/>
  <c r="N269" i="2"/>
  <c r="N270" i="2"/>
  <c r="N271" i="2"/>
  <c r="N272" i="2"/>
  <c r="N273" i="2"/>
  <c r="N274" i="2"/>
  <c r="N275" i="2"/>
  <c r="N276" i="2"/>
  <c r="N277" i="2"/>
  <c r="N278" i="2"/>
  <c r="N255" i="2"/>
  <c r="M279" i="2" s="1"/>
  <c r="N227" i="2"/>
  <c r="M251" i="2" s="1"/>
  <c r="N199" i="2"/>
  <c r="M223" i="2" s="1"/>
  <c r="N171" i="2"/>
  <c r="N143" i="2"/>
  <c r="M167" i="2" s="1"/>
  <c r="N115" i="2"/>
  <c r="N87" i="2"/>
  <c r="N111" i="2" s="1"/>
  <c r="N60" i="2"/>
  <c r="N61" i="2"/>
  <c r="N62" i="2"/>
  <c r="N63" i="2"/>
  <c r="N64" i="2"/>
  <c r="N65" i="2"/>
  <c r="N66" i="2"/>
  <c r="N67" i="2"/>
  <c r="N68" i="2"/>
  <c r="N69" i="2"/>
  <c r="N70" i="2"/>
  <c r="N71" i="2"/>
  <c r="N72" i="2"/>
  <c r="N73" i="2"/>
  <c r="N74" i="2"/>
  <c r="N75" i="2"/>
  <c r="N76" i="2"/>
  <c r="N77" i="2"/>
  <c r="N78" i="2"/>
  <c r="N79" i="2"/>
  <c r="N80" i="2"/>
  <c r="N81" i="2"/>
  <c r="N82" i="2"/>
  <c r="N59" i="2"/>
  <c r="N32" i="2"/>
  <c r="N33" i="2"/>
  <c r="N34" i="2"/>
  <c r="N35" i="2"/>
  <c r="N36" i="2"/>
  <c r="N37" i="2"/>
  <c r="N38" i="2"/>
  <c r="N39" i="2"/>
  <c r="N40" i="2"/>
  <c r="N41" i="2"/>
  <c r="N42" i="2"/>
  <c r="N43" i="2"/>
  <c r="N44" i="2"/>
  <c r="N45" i="2"/>
  <c r="N46" i="2"/>
  <c r="N47" i="2"/>
  <c r="N48" i="2"/>
  <c r="N49" i="2"/>
  <c r="N50" i="2"/>
  <c r="N51" i="2"/>
  <c r="N52" i="2"/>
  <c r="N53" i="2"/>
  <c r="N54" i="2"/>
  <c r="N31" i="2"/>
  <c r="N55" i="2" s="1"/>
  <c r="M278" i="2"/>
  <c r="M277" i="2"/>
  <c r="M276" i="2"/>
  <c r="M275" i="2"/>
  <c r="M274" i="2"/>
  <c r="M273" i="2"/>
  <c r="M272" i="2"/>
  <c r="M271" i="2"/>
  <c r="M270" i="2"/>
  <c r="M269" i="2"/>
  <c r="M268" i="2"/>
  <c r="M267" i="2"/>
  <c r="M266" i="2"/>
  <c r="M265" i="2"/>
  <c r="M264" i="2"/>
  <c r="M263" i="2"/>
  <c r="M262" i="2"/>
  <c r="M261" i="2"/>
  <c r="M260" i="2"/>
  <c r="M259" i="2"/>
  <c r="M258" i="2"/>
  <c r="M257" i="2"/>
  <c r="M256" i="2"/>
  <c r="M255" i="2"/>
  <c r="M250" i="2"/>
  <c r="M249" i="2"/>
  <c r="M248" i="2"/>
  <c r="M247" i="2"/>
  <c r="M246" i="2"/>
  <c r="M245" i="2"/>
  <c r="M244" i="2"/>
  <c r="M243" i="2"/>
  <c r="M242" i="2"/>
  <c r="M241" i="2"/>
  <c r="M240" i="2"/>
  <c r="M239" i="2"/>
  <c r="M238" i="2"/>
  <c r="M237" i="2"/>
  <c r="M236" i="2"/>
  <c r="M235" i="2"/>
  <c r="M234" i="2"/>
  <c r="M233" i="2"/>
  <c r="M232" i="2"/>
  <c r="M231" i="2"/>
  <c r="M230" i="2"/>
  <c r="M229" i="2"/>
  <c r="M228" i="2"/>
  <c r="M227" i="2"/>
  <c r="M222" i="2"/>
  <c r="M221" i="2"/>
  <c r="M220" i="2"/>
  <c r="M219" i="2"/>
  <c r="M218" i="2"/>
  <c r="M217" i="2"/>
  <c r="M216" i="2"/>
  <c r="M215" i="2"/>
  <c r="M214" i="2"/>
  <c r="M213" i="2"/>
  <c r="M212" i="2"/>
  <c r="M211" i="2"/>
  <c r="M210" i="2"/>
  <c r="M209" i="2"/>
  <c r="M208" i="2"/>
  <c r="M207" i="2"/>
  <c r="M206" i="2"/>
  <c r="M205" i="2"/>
  <c r="M204" i="2"/>
  <c r="M203" i="2"/>
  <c r="M202" i="2"/>
  <c r="M201" i="2"/>
  <c r="M200" i="2"/>
  <c r="M199" i="2"/>
  <c r="M194" i="2"/>
  <c r="M193" i="2"/>
  <c r="M192" i="2"/>
  <c r="M191" i="2"/>
  <c r="M190" i="2"/>
  <c r="M189" i="2"/>
  <c r="M188" i="2"/>
  <c r="M187" i="2"/>
  <c r="M186" i="2"/>
  <c r="M185" i="2"/>
  <c r="M184" i="2"/>
  <c r="M183" i="2"/>
  <c r="M182" i="2"/>
  <c r="M181" i="2"/>
  <c r="M180" i="2"/>
  <c r="M179" i="2"/>
  <c r="M178" i="2"/>
  <c r="M177" i="2"/>
  <c r="M176" i="2"/>
  <c r="M175" i="2"/>
  <c r="M174" i="2"/>
  <c r="M173" i="2"/>
  <c r="M172" i="2"/>
  <c r="M171" i="2"/>
  <c r="M166" i="2"/>
  <c r="M165" i="2"/>
  <c r="M164" i="2"/>
  <c r="M163" i="2"/>
  <c r="M162" i="2"/>
  <c r="M161" i="2"/>
  <c r="M160" i="2"/>
  <c r="M159" i="2"/>
  <c r="M158" i="2"/>
  <c r="M157" i="2"/>
  <c r="M156" i="2"/>
  <c r="M155" i="2"/>
  <c r="M154" i="2"/>
  <c r="M153" i="2"/>
  <c r="M152" i="2"/>
  <c r="M151" i="2"/>
  <c r="M150" i="2"/>
  <c r="M149" i="2"/>
  <c r="M148" i="2"/>
  <c r="M147" i="2"/>
  <c r="M146" i="2"/>
  <c r="M145" i="2"/>
  <c r="M144" i="2"/>
  <c r="M143" i="2"/>
  <c r="M138" i="2"/>
  <c r="M137" i="2"/>
  <c r="M136" i="2"/>
  <c r="M135" i="2"/>
  <c r="M134" i="2"/>
  <c r="M133" i="2"/>
  <c r="M132" i="2"/>
  <c r="M131" i="2"/>
  <c r="M130" i="2"/>
  <c r="M129" i="2"/>
  <c r="M128" i="2"/>
  <c r="M127" i="2"/>
  <c r="M126" i="2"/>
  <c r="M125" i="2"/>
  <c r="M124" i="2"/>
  <c r="M123" i="2"/>
  <c r="M122" i="2"/>
  <c r="M121" i="2"/>
  <c r="M120" i="2"/>
  <c r="M119" i="2"/>
  <c r="M118" i="2"/>
  <c r="M117" i="2"/>
  <c r="M116" i="2"/>
  <c r="M115" i="2"/>
  <c r="M110" i="2"/>
  <c r="M109" i="2"/>
  <c r="M108" i="2"/>
  <c r="M107" i="2"/>
  <c r="M106" i="2"/>
  <c r="M105" i="2"/>
  <c r="M104" i="2"/>
  <c r="M103" i="2"/>
  <c r="M102" i="2"/>
  <c r="M101" i="2"/>
  <c r="M100" i="2"/>
  <c r="M99" i="2"/>
  <c r="M98" i="2"/>
  <c r="M97" i="2"/>
  <c r="M96" i="2"/>
  <c r="M95" i="2"/>
  <c r="M94" i="2"/>
  <c r="M93" i="2"/>
  <c r="M92" i="2"/>
  <c r="M91" i="2"/>
  <c r="M90" i="2"/>
  <c r="M89" i="2"/>
  <c r="M88" i="2"/>
  <c r="M87" i="2"/>
  <c r="M111" i="2" s="1"/>
  <c r="M82" i="2"/>
  <c r="M81" i="2"/>
  <c r="M80" i="2"/>
  <c r="M79" i="2"/>
  <c r="M78" i="2"/>
  <c r="M77" i="2"/>
  <c r="M76" i="2"/>
  <c r="M75" i="2"/>
  <c r="M74" i="2"/>
  <c r="M73" i="2"/>
  <c r="M72" i="2"/>
  <c r="M71" i="2"/>
  <c r="M70" i="2"/>
  <c r="M69" i="2"/>
  <c r="M68" i="2"/>
  <c r="M67" i="2"/>
  <c r="M66" i="2"/>
  <c r="M65" i="2"/>
  <c r="M64" i="2"/>
  <c r="M63" i="2"/>
  <c r="M62" i="2"/>
  <c r="M61" i="2"/>
  <c r="M60" i="2"/>
  <c r="M59" i="2"/>
  <c r="M83" i="2" s="1"/>
  <c r="M31" i="2"/>
  <c r="CV29" i="13" l="1"/>
  <c r="CG29" i="13"/>
  <c r="CP29" i="13" s="1"/>
  <c r="EU41" i="12"/>
  <c r="EV41" i="12" s="1"/>
  <c r="EW41" i="12" s="1"/>
  <c r="EX41" i="12" s="1"/>
  <c r="EY41" i="12" s="1"/>
  <c r="EZ41" i="12" s="1"/>
  <c r="FA41" i="12" s="1"/>
  <c r="FB41" i="12" s="1"/>
  <c r="FC41" i="12" s="1"/>
  <c r="FD41" i="12" s="1"/>
  <c r="FE41" i="12" s="1"/>
  <c r="FF41" i="12" s="1"/>
  <c r="FG41" i="12" s="1"/>
  <c r="FH41" i="12" s="1"/>
  <c r="FI41" i="12" s="1"/>
  <c r="FJ41" i="12" s="1"/>
  <c r="DL12" i="12"/>
  <c r="DN12" i="12" s="1"/>
  <c r="DR12" i="12" s="1"/>
  <c r="EI12" i="13"/>
  <c r="EQ41" i="13" s="1"/>
  <c r="DI12" i="13"/>
  <c r="FF38" i="13"/>
  <c r="CR12" i="13"/>
  <c r="CS12" i="13" s="1"/>
  <c r="CI29" i="12"/>
  <c r="CL29" i="12"/>
  <c r="CM29" i="12" s="1"/>
  <c r="CN29" i="12" s="1"/>
  <c r="CT29" i="12"/>
  <c r="FH38" i="12"/>
  <c r="CU12" i="12"/>
  <c r="CV12" i="12" s="1"/>
  <c r="CL28" i="10"/>
  <c r="CL10" i="10"/>
  <c r="BV28" i="10"/>
  <c r="CD28" i="10"/>
  <c r="CR28" i="10" s="1"/>
  <c r="BU28" i="10"/>
  <c r="BX28" i="10"/>
  <c r="CB28" i="10"/>
  <c r="CH28" i="10" s="1"/>
  <c r="CQ28" i="10" s="1"/>
  <c r="CS10" i="10"/>
  <c r="CT10" i="10" s="1"/>
  <c r="FB37" i="10"/>
  <c r="EJ10" i="10"/>
  <c r="EQ39" i="10" s="1"/>
  <c r="DJ10" i="10"/>
  <c r="FE36" i="10"/>
  <c r="CJ29" i="1"/>
  <c r="CK29" i="1" s="1"/>
  <c r="CD29" i="1"/>
  <c r="CR29" i="1" s="1"/>
  <c r="BV29" i="1"/>
  <c r="BU29" i="1"/>
  <c r="BY29" i="1" s="1"/>
  <c r="N83" i="2"/>
  <c r="H59" i="2"/>
  <c r="M195" i="2"/>
  <c r="H171" i="2"/>
  <c r="C48" i="5"/>
  <c r="C49" i="5" s="1"/>
  <c r="C50" i="5" s="1"/>
  <c r="C51" i="5" s="1"/>
  <c r="C52" i="5" s="1"/>
  <c r="C53" i="5" s="1"/>
  <c r="C54" i="5" s="1"/>
  <c r="C55" i="5" s="1"/>
  <c r="C56" i="5" s="1"/>
  <c r="C57" i="5" s="1"/>
  <c r="C58" i="5" s="1"/>
  <c r="C59" i="5" s="1"/>
  <c r="C60" i="5" s="1"/>
  <c r="C61" i="5" s="1"/>
  <c r="C62" i="5" s="1"/>
  <c r="C63" i="5" s="1"/>
  <c r="C64" i="5" s="1"/>
  <c r="C65" i="5" s="1"/>
  <c r="C66" i="5" s="1"/>
  <c r="C67" i="5" s="1"/>
  <c r="EY58" i="12" l="1"/>
  <c r="EM17" i="12" s="1"/>
  <c r="CT12" i="13"/>
  <c r="DK12" i="13"/>
  <c r="DO12" i="13" s="1"/>
  <c r="FG38" i="13"/>
  <c r="ER41" i="13"/>
  <c r="ES41" i="13" s="1"/>
  <c r="ET41" i="13" s="1"/>
  <c r="EU41" i="13" s="1"/>
  <c r="EV41" i="13" s="1"/>
  <c r="EQ59" i="13"/>
  <c r="EQ60" i="13" s="1"/>
  <c r="EK13" i="13" s="1"/>
  <c r="CY29" i="12"/>
  <c r="CJ29" i="12"/>
  <c r="CS29" i="12" s="1"/>
  <c r="CW12" i="12"/>
  <c r="DM12" i="12"/>
  <c r="DT12" i="12"/>
  <c r="DU12" i="12" s="1"/>
  <c r="FI38" i="12"/>
  <c r="CL29" i="1"/>
  <c r="BY28" i="10"/>
  <c r="DC28" i="10"/>
  <c r="FF36" i="10"/>
  <c r="DL10" i="10"/>
  <c r="DP10" i="10" s="1"/>
  <c r="FC37" i="10"/>
  <c r="ER39" i="10"/>
  <c r="ES39" i="10" s="1"/>
  <c r="ET39" i="10" s="1"/>
  <c r="EU39" i="10" s="1"/>
  <c r="EV39" i="10" s="1"/>
  <c r="EQ58" i="10"/>
  <c r="EQ59" i="10" s="1"/>
  <c r="EL11" i="10" s="1"/>
  <c r="DC29" i="1"/>
  <c r="BZ29" i="1"/>
  <c r="CA29" i="1" s="1"/>
  <c r="CB29" i="1" s="1"/>
  <c r="CH29" i="1" s="1"/>
  <c r="CQ29" i="1" s="1"/>
  <c r="CX29" i="1"/>
  <c r="CM29" i="1"/>
  <c r="B48" i="5"/>
  <c r="B49" i="5" s="1"/>
  <c r="B50" i="5" s="1"/>
  <c r="B51" i="5" s="1"/>
  <c r="B52" i="5" s="1"/>
  <c r="B53" i="5" s="1"/>
  <c r="B54" i="5" s="1"/>
  <c r="B55" i="5" s="1"/>
  <c r="B56" i="5" s="1"/>
  <c r="B57" i="5" s="1"/>
  <c r="B58" i="5" s="1"/>
  <c r="B59" i="5" s="1"/>
  <c r="B60" i="5" s="1"/>
  <c r="B61" i="5" s="1"/>
  <c r="B62" i="5" s="1"/>
  <c r="B63" i="5" s="1"/>
  <c r="B64" i="5" s="1"/>
  <c r="B65" i="5" s="1"/>
  <c r="B66" i="5" s="1"/>
  <c r="B67" i="5" s="1"/>
  <c r="CU10" i="10"/>
  <c r="EW41" i="13" l="1"/>
  <c r="EX41" i="13" s="1"/>
  <c r="EY41" i="13" s="1"/>
  <c r="EZ41" i="13" s="1"/>
  <c r="FA41" i="13" s="1"/>
  <c r="FB41" i="13" s="1"/>
  <c r="FC41" i="13" s="1"/>
  <c r="FD41" i="13" s="1"/>
  <c r="FE41" i="13" s="1"/>
  <c r="FF41" i="13" s="1"/>
  <c r="FG41" i="13" s="1"/>
  <c r="EV58" i="13"/>
  <c r="EJ17" i="13" s="1"/>
  <c r="DJ12" i="13"/>
  <c r="DQ12" i="13"/>
  <c r="DR12" i="13" s="1"/>
  <c r="BV12" i="13"/>
  <c r="BE12" i="13"/>
  <c r="DX14" i="13"/>
  <c r="CU12" i="13"/>
  <c r="DH13" i="12"/>
  <c r="DV12" i="12"/>
  <c r="BB12" i="12" s="1"/>
  <c r="FJ38" i="12"/>
  <c r="BW12" i="12"/>
  <c r="BE12" i="12"/>
  <c r="EA14" i="12"/>
  <c r="CX12" i="12"/>
  <c r="CX28" i="10"/>
  <c r="CM28" i="10"/>
  <c r="BZ28" i="10"/>
  <c r="BW10" i="10"/>
  <c r="BF10" i="10"/>
  <c r="DY12" i="10"/>
  <c r="DR10" i="10"/>
  <c r="DS10" i="10" s="1"/>
  <c r="CV10" i="10"/>
  <c r="FD37" i="10"/>
  <c r="EW39" i="10"/>
  <c r="EX39" i="10" s="1"/>
  <c r="EY39" i="10" s="1"/>
  <c r="EZ39" i="10" s="1"/>
  <c r="FA39" i="10" s="1"/>
  <c r="FB39" i="10" s="1"/>
  <c r="FC39" i="10" s="1"/>
  <c r="FD39" i="10" s="1"/>
  <c r="FE39" i="10" s="1"/>
  <c r="FF39" i="10" s="1"/>
  <c r="FG39" i="10" s="1"/>
  <c r="FH39" i="10" s="1"/>
  <c r="EV57" i="10"/>
  <c r="EK15" i="10" s="1"/>
  <c r="DK10" i="10"/>
  <c r="FG36" i="10"/>
  <c r="F13" i="5"/>
  <c r="D20" i="5"/>
  <c r="D21" i="5"/>
  <c r="D22" i="5"/>
  <c r="D23" i="5"/>
  <c r="D19" i="5"/>
  <c r="F19" i="5" s="1"/>
  <c r="DE13" i="13" l="1"/>
  <c r="DS12" i="13"/>
  <c r="BB12" i="13" s="1"/>
  <c r="EA14" i="13"/>
  <c r="ED14" i="12"/>
  <c r="DX13" i="12"/>
  <c r="DY13" i="12" s="1"/>
  <c r="DI13" i="12"/>
  <c r="DJ13" i="12" s="1"/>
  <c r="DC13" i="12"/>
  <c r="DD13" i="12" s="1"/>
  <c r="DF13" i="12" s="1"/>
  <c r="CE13" i="12"/>
  <c r="BA13" i="12"/>
  <c r="K23" i="12" s="1"/>
  <c r="DT10" i="10"/>
  <c r="BC10" i="10" s="1"/>
  <c r="DF11" i="10"/>
  <c r="FE37" i="10"/>
  <c r="EB12" i="10"/>
  <c r="FH36" i="10"/>
  <c r="F20" i="5"/>
  <c r="F21" i="5" s="1"/>
  <c r="F22" i="5" s="1"/>
  <c r="F23" i="5" s="1"/>
  <c r="BC14" i="13" l="1"/>
  <c r="L24" i="13" s="1"/>
  <c r="BF14" i="13"/>
  <c r="L25" i="13" s="1"/>
  <c r="CZ13" i="13"/>
  <c r="DA13" i="13" s="1"/>
  <c r="DC13" i="13" s="1"/>
  <c r="DU13" i="13"/>
  <c r="DV13" i="13" s="1"/>
  <c r="DF13" i="13"/>
  <c r="DG13" i="13" s="1"/>
  <c r="CB13" i="13"/>
  <c r="BA13" i="13"/>
  <c r="K23" i="13" s="1"/>
  <c r="DK13" i="12"/>
  <c r="CK13" i="12"/>
  <c r="CL13" i="12" s="1"/>
  <c r="CM13" i="12" s="1"/>
  <c r="CN13" i="12" s="1"/>
  <c r="EI13" i="12"/>
  <c r="EJ13" i="12" s="1"/>
  <c r="DP13" i="12" s="1"/>
  <c r="DQ13" i="12" s="1"/>
  <c r="DZ13" i="12"/>
  <c r="BD13" i="12" s="1"/>
  <c r="BF14" i="12"/>
  <c r="L25" i="12" s="1"/>
  <c r="BC14" i="12"/>
  <c r="L24" i="12" s="1"/>
  <c r="BG12" i="10"/>
  <c r="K24" i="10" s="1"/>
  <c r="BD12" i="10"/>
  <c r="K23" i="10" s="1"/>
  <c r="FF37" i="10"/>
  <c r="DG11" i="10"/>
  <c r="DH11" i="10" s="1"/>
  <c r="DE11" i="10" s="1"/>
  <c r="DV11" i="10"/>
  <c r="DW11" i="10" s="1"/>
  <c r="DA11" i="10"/>
  <c r="DB11" i="10" s="1"/>
  <c r="DD11" i="10" s="1"/>
  <c r="CC11" i="10"/>
  <c r="BB11" i="10"/>
  <c r="J22" i="10" s="1"/>
  <c r="C13" i="5"/>
  <c r="D24" i="5" s="1"/>
  <c r="F24" i="5" s="1"/>
  <c r="CH13" i="13" l="1"/>
  <c r="CI13" i="13" s="1"/>
  <c r="CJ13" i="13" s="1"/>
  <c r="CK13" i="13" s="1"/>
  <c r="DH13" i="13"/>
  <c r="EF13" i="13"/>
  <c r="EG13" i="13" s="1"/>
  <c r="DM13" i="13" s="1"/>
  <c r="DN13" i="13" s="1"/>
  <c r="DW13" i="13"/>
  <c r="BD13" i="13" s="1"/>
  <c r="CU13" i="12"/>
  <c r="CV13" i="12" s="1"/>
  <c r="EL13" i="12"/>
  <c r="EU42" i="12" s="1"/>
  <c r="DL13" i="12"/>
  <c r="EG11" i="10"/>
  <c r="EH11" i="10" s="1"/>
  <c r="DN11" i="10" s="1"/>
  <c r="DO11" i="10" s="1"/>
  <c r="DX11" i="10"/>
  <c r="BE11" i="10" s="1"/>
  <c r="FG37" i="10"/>
  <c r="CI11" i="10"/>
  <c r="CJ11" i="10" s="1"/>
  <c r="CK11" i="10" s="1"/>
  <c r="D28" i="5"/>
  <c r="D25" i="5"/>
  <c r="F25" i="5" s="1"/>
  <c r="D29" i="5"/>
  <c r="D26" i="5"/>
  <c r="D30" i="5"/>
  <c r="D27" i="5"/>
  <c r="EI13" i="13" l="1"/>
  <c r="ER42" i="13" s="1"/>
  <c r="DI13" i="13"/>
  <c r="CR13" i="13"/>
  <c r="CS13" i="13" s="1"/>
  <c r="DN13" i="12"/>
  <c r="DR13" i="12" s="1"/>
  <c r="EV42" i="12"/>
  <c r="EW42" i="12" s="1"/>
  <c r="EX42" i="12" s="1"/>
  <c r="EY42" i="12" s="1"/>
  <c r="EZ42" i="12" s="1"/>
  <c r="EU59" i="12"/>
  <c r="EU60" i="12" s="1"/>
  <c r="EN14" i="12" s="1"/>
  <c r="CW13" i="12"/>
  <c r="CL11" i="10"/>
  <c r="EJ11" i="10"/>
  <c r="ER40" i="10" s="1"/>
  <c r="DJ11" i="10"/>
  <c r="FH37" i="10"/>
  <c r="CS11" i="10"/>
  <c r="CT11" i="10" s="1"/>
  <c r="F26" i="5"/>
  <c r="F27" i="5" s="1"/>
  <c r="F28" i="5" s="1"/>
  <c r="F29" i="5" s="1"/>
  <c r="F30" i="5" s="1"/>
  <c r="CT13" i="13" l="1"/>
  <c r="DK13" i="13"/>
  <c r="DO13" i="13" s="1"/>
  <c r="ES42" i="13"/>
  <c r="ET42" i="13" s="1"/>
  <c r="EU42" i="13" s="1"/>
  <c r="EV42" i="13" s="1"/>
  <c r="EW42" i="13" s="1"/>
  <c r="ER59" i="13"/>
  <c r="ER60" i="13" s="1"/>
  <c r="EK14" i="13" s="1"/>
  <c r="DM13" i="12"/>
  <c r="BW13" i="12"/>
  <c r="BE13" i="12"/>
  <c r="EA15" i="12"/>
  <c r="CX13" i="12"/>
  <c r="FA42" i="12"/>
  <c r="FB42" i="12" s="1"/>
  <c r="FC42" i="12" s="1"/>
  <c r="FD42" i="12" s="1"/>
  <c r="FE42" i="12" s="1"/>
  <c r="FF42" i="12" s="1"/>
  <c r="FG42" i="12" s="1"/>
  <c r="FH42" i="12" s="1"/>
  <c r="FI42" i="12" s="1"/>
  <c r="FJ42" i="12" s="1"/>
  <c r="EZ58" i="12"/>
  <c r="EM18" i="12" s="1"/>
  <c r="DT13" i="12"/>
  <c r="DU13" i="12" s="1"/>
  <c r="ES40" i="10"/>
  <c r="ET40" i="10" s="1"/>
  <c r="EU40" i="10" s="1"/>
  <c r="EV40" i="10" s="1"/>
  <c r="EW40" i="10" s="1"/>
  <c r="ER58" i="10"/>
  <c r="ER59" i="10" s="1"/>
  <c r="EL12" i="10" s="1"/>
  <c r="DL11" i="10"/>
  <c r="DP11" i="10" s="1"/>
  <c r="G20" i="2"/>
  <c r="CU11" i="10"/>
  <c r="DJ13" i="13" l="1"/>
  <c r="EX42" i="13"/>
  <c r="EY42" i="13" s="1"/>
  <c r="EZ42" i="13" s="1"/>
  <c r="FA42" i="13" s="1"/>
  <c r="FB42" i="13" s="1"/>
  <c r="FC42" i="13" s="1"/>
  <c r="FD42" i="13" s="1"/>
  <c r="FE42" i="13" s="1"/>
  <c r="FF42" i="13" s="1"/>
  <c r="FG42" i="13" s="1"/>
  <c r="EW58" i="13"/>
  <c r="EJ18" i="13" s="1"/>
  <c r="BV13" i="13"/>
  <c r="BE13" i="13"/>
  <c r="DX15" i="13"/>
  <c r="DQ13" i="13"/>
  <c r="DR13" i="13" s="1"/>
  <c r="CU13" i="13"/>
  <c r="DV13" i="12"/>
  <c r="BB13" i="12" s="1"/>
  <c r="DH14" i="12"/>
  <c r="ED15" i="12"/>
  <c r="BW11" i="10"/>
  <c r="BF11" i="10"/>
  <c r="DY13" i="10"/>
  <c r="DR11" i="10"/>
  <c r="DS11" i="10" s="1"/>
  <c r="DK11" i="10"/>
  <c r="CV11" i="10"/>
  <c r="EX40" i="10"/>
  <c r="EY40" i="10" s="1"/>
  <c r="EZ40" i="10" s="1"/>
  <c r="FA40" i="10" s="1"/>
  <c r="FB40" i="10" s="1"/>
  <c r="FC40" i="10" s="1"/>
  <c r="FD40" i="10" s="1"/>
  <c r="FE40" i="10" s="1"/>
  <c r="FF40" i="10" s="1"/>
  <c r="FG40" i="10" s="1"/>
  <c r="FH40" i="10" s="1"/>
  <c r="EW57" i="10"/>
  <c r="EK16" i="10" s="1"/>
  <c r="O278" i="2"/>
  <c r="H278" i="2"/>
  <c r="J278" i="2"/>
  <c r="O277" i="2"/>
  <c r="H277" i="2"/>
  <c r="J277" i="2"/>
  <c r="O276" i="2"/>
  <c r="H276" i="2"/>
  <c r="J276" i="2"/>
  <c r="O275" i="2"/>
  <c r="H275" i="2"/>
  <c r="J275" i="2"/>
  <c r="O274" i="2"/>
  <c r="H274" i="2"/>
  <c r="J274" i="2"/>
  <c r="O273" i="2"/>
  <c r="H273" i="2"/>
  <c r="J273" i="2"/>
  <c r="O272" i="2"/>
  <c r="H272" i="2"/>
  <c r="J272" i="2"/>
  <c r="O271" i="2"/>
  <c r="H271" i="2"/>
  <c r="J271" i="2"/>
  <c r="O270" i="2"/>
  <c r="H270" i="2"/>
  <c r="J270" i="2"/>
  <c r="O269" i="2"/>
  <c r="H269" i="2"/>
  <c r="J269" i="2"/>
  <c r="O268" i="2"/>
  <c r="H268" i="2"/>
  <c r="J268" i="2"/>
  <c r="O267" i="2"/>
  <c r="H267" i="2"/>
  <c r="J267" i="2"/>
  <c r="O266" i="2"/>
  <c r="H266" i="2"/>
  <c r="J266" i="2"/>
  <c r="O265" i="2"/>
  <c r="H265" i="2"/>
  <c r="J265" i="2"/>
  <c r="O264" i="2"/>
  <c r="H264" i="2"/>
  <c r="J264" i="2"/>
  <c r="O263" i="2"/>
  <c r="H263" i="2"/>
  <c r="J263" i="2"/>
  <c r="O262" i="2"/>
  <c r="H262" i="2"/>
  <c r="J262" i="2"/>
  <c r="O261" i="2"/>
  <c r="H261" i="2"/>
  <c r="J261" i="2"/>
  <c r="O260" i="2"/>
  <c r="H260" i="2"/>
  <c r="J260" i="2"/>
  <c r="O259" i="2"/>
  <c r="H259" i="2"/>
  <c r="J259" i="2"/>
  <c r="O258" i="2"/>
  <c r="H258" i="2"/>
  <c r="J258" i="2"/>
  <c r="O257" i="2"/>
  <c r="H257" i="2"/>
  <c r="J257" i="2"/>
  <c r="O256" i="2"/>
  <c r="H256" i="2"/>
  <c r="J256" i="2"/>
  <c r="O255" i="2"/>
  <c r="N279" i="2" s="1"/>
  <c r="H255" i="2"/>
  <c r="G279" i="2" s="1"/>
  <c r="O250" i="2"/>
  <c r="H250" i="2"/>
  <c r="J250" i="2"/>
  <c r="O249" i="2"/>
  <c r="H249" i="2"/>
  <c r="J249" i="2"/>
  <c r="O248" i="2"/>
  <c r="H248" i="2"/>
  <c r="J248" i="2"/>
  <c r="O247" i="2"/>
  <c r="H247" i="2"/>
  <c r="J247" i="2"/>
  <c r="O246" i="2"/>
  <c r="H246" i="2"/>
  <c r="J246" i="2"/>
  <c r="O245" i="2"/>
  <c r="H245" i="2"/>
  <c r="J245" i="2"/>
  <c r="O244" i="2"/>
  <c r="H244" i="2"/>
  <c r="J244" i="2"/>
  <c r="O243" i="2"/>
  <c r="H243" i="2"/>
  <c r="J243" i="2"/>
  <c r="O242" i="2"/>
  <c r="H242" i="2"/>
  <c r="J242" i="2"/>
  <c r="O241" i="2"/>
  <c r="H241" i="2"/>
  <c r="J241" i="2"/>
  <c r="O240" i="2"/>
  <c r="H240" i="2"/>
  <c r="J240" i="2"/>
  <c r="O239" i="2"/>
  <c r="H239" i="2"/>
  <c r="J239" i="2"/>
  <c r="O238" i="2"/>
  <c r="H238" i="2"/>
  <c r="J238" i="2"/>
  <c r="O237" i="2"/>
  <c r="H237" i="2"/>
  <c r="J237" i="2"/>
  <c r="O236" i="2"/>
  <c r="H236" i="2"/>
  <c r="J236" i="2"/>
  <c r="O235" i="2"/>
  <c r="H235" i="2"/>
  <c r="J235" i="2"/>
  <c r="O234" i="2"/>
  <c r="H234" i="2"/>
  <c r="J234" i="2"/>
  <c r="O233" i="2"/>
  <c r="H233" i="2"/>
  <c r="J233" i="2"/>
  <c r="O232" i="2"/>
  <c r="H232" i="2"/>
  <c r="J232" i="2"/>
  <c r="O231" i="2"/>
  <c r="H231" i="2"/>
  <c r="J231" i="2"/>
  <c r="O230" i="2"/>
  <c r="H230" i="2"/>
  <c r="J230" i="2"/>
  <c r="O229" i="2"/>
  <c r="H229" i="2"/>
  <c r="J229" i="2"/>
  <c r="O228" i="2"/>
  <c r="H228" i="2"/>
  <c r="J228" i="2"/>
  <c r="O227" i="2"/>
  <c r="N251" i="2" s="1"/>
  <c r="H227" i="2"/>
  <c r="G251" i="2" s="1"/>
  <c r="O222" i="2"/>
  <c r="H222" i="2"/>
  <c r="J222" i="2"/>
  <c r="O221" i="2"/>
  <c r="H221" i="2"/>
  <c r="J221" i="2"/>
  <c r="O220" i="2"/>
  <c r="H220" i="2"/>
  <c r="J220" i="2"/>
  <c r="O219" i="2"/>
  <c r="H219" i="2"/>
  <c r="J219" i="2"/>
  <c r="O218" i="2"/>
  <c r="H218" i="2"/>
  <c r="J218" i="2"/>
  <c r="O217" i="2"/>
  <c r="H217" i="2"/>
  <c r="J217" i="2"/>
  <c r="O216" i="2"/>
  <c r="H216" i="2"/>
  <c r="J216" i="2"/>
  <c r="O215" i="2"/>
  <c r="H215" i="2"/>
  <c r="J215" i="2"/>
  <c r="O214" i="2"/>
  <c r="H214" i="2"/>
  <c r="J214" i="2"/>
  <c r="O213" i="2"/>
  <c r="H213" i="2"/>
  <c r="J213" i="2"/>
  <c r="O212" i="2"/>
  <c r="H212" i="2"/>
  <c r="J212" i="2"/>
  <c r="O211" i="2"/>
  <c r="H211" i="2"/>
  <c r="J211" i="2"/>
  <c r="O210" i="2"/>
  <c r="H210" i="2"/>
  <c r="J210" i="2"/>
  <c r="O209" i="2"/>
  <c r="H209" i="2"/>
  <c r="J209" i="2"/>
  <c r="O208" i="2"/>
  <c r="H208" i="2"/>
  <c r="J208" i="2"/>
  <c r="O207" i="2"/>
  <c r="H207" i="2"/>
  <c r="J207" i="2"/>
  <c r="O206" i="2"/>
  <c r="H206" i="2"/>
  <c r="J206" i="2"/>
  <c r="O205" i="2"/>
  <c r="H205" i="2"/>
  <c r="J205" i="2"/>
  <c r="O204" i="2"/>
  <c r="H204" i="2"/>
  <c r="J204" i="2"/>
  <c r="O203" i="2"/>
  <c r="H203" i="2"/>
  <c r="J203" i="2"/>
  <c r="O202" i="2"/>
  <c r="H202" i="2"/>
  <c r="J202" i="2"/>
  <c r="O201" i="2"/>
  <c r="H201" i="2"/>
  <c r="J201" i="2"/>
  <c r="O200" i="2"/>
  <c r="H200" i="2"/>
  <c r="J200" i="2"/>
  <c r="O199" i="2"/>
  <c r="N223" i="2" s="1"/>
  <c r="H199" i="2"/>
  <c r="O194" i="2"/>
  <c r="J194" i="2"/>
  <c r="O193" i="2"/>
  <c r="J193" i="2"/>
  <c r="O192" i="2"/>
  <c r="J192" i="2"/>
  <c r="O191" i="2"/>
  <c r="J191" i="2"/>
  <c r="O190" i="2"/>
  <c r="J190" i="2"/>
  <c r="O189" i="2"/>
  <c r="J189" i="2"/>
  <c r="O188" i="2"/>
  <c r="J188" i="2"/>
  <c r="O187" i="2"/>
  <c r="J187" i="2"/>
  <c r="O186" i="2"/>
  <c r="J186" i="2"/>
  <c r="O185" i="2"/>
  <c r="J185" i="2"/>
  <c r="O184" i="2"/>
  <c r="J184" i="2"/>
  <c r="O183" i="2"/>
  <c r="J183" i="2"/>
  <c r="O182" i="2"/>
  <c r="J182" i="2"/>
  <c r="O181" i="2"/>
  <c r="J181" i="2"/>
  <c r="O180" i="2"/>
  <c r="J180" i="2"/>
  <c r="O179" i="2"/>
  <c r="J179" i="2"/>
  <c r="O178" i="2"/>
  <c r="J178" i="2"/>
  <c r="O177" i="2"/>
  <c r="J177" i="2"/>
  <c r="O176" i="2"/>
  <c r="J176" i="2"/>
  <c r="O175" i="2"/>
  <c r="J175" i="2"/>
  <c r="O174" i="2"/>
  <c r="J174" i="2"/>
  <c r="O173" i="2"/>
  <c r="J173" i="2"/>
  <c r="O172" i="2"/>
  <c r="J172" i="2"/>
  <c r="O171" i="2"/>
  <c r="N195" i="2" s="1"/>
  <c r="H195" i="2" s="1"/>
  <c r="O166" i="2"/>
  <c r="H166" i="2"/>
  <c r="J166" i="2"/>
  <c r="O165" i="2"/>
  <c r="H165" i="2"/>
  <c r="J165" i="2"/>
  <c r="O164" i="2"/>
  <c r="H164" i="2"/>
  <c r="J164" i="2"/>
  <c r="O163" i="2"/>
  <c r="H163" i="2"/>
  <c r="J163" i="2"/>
  <c r="O162" i="2"/>
  <c r="H162" i="2"/>
  <c r="J162" i="2"/>
  <c r="O161" i="2"/>
  <c r="H161" i="2"/>
  <c r="J161" i="2"/>
  <c r="O160" i="2"/>
  <c r="H160" i="2"/>
  <c r="J160" i="2"/>
  <c r="O159" i="2"/>
  <c r="H159" i="2"/>
  <c r="J159" i="2"/>
  <c r="O158" i="2"/>
  <c r="H158" i="2"/>
  <c r="J158" i="2"/>
  <c r="O157" i="2"/>
  <c r="H157" i="2"/>
  <c r="J157" i="2"/>
  <c r="O156" i="2"/>
  <c r="H156" i="2"/>
  <c r="J156" i="2"/>
  <c r="O155" i="2"/>
  <c r="H155" i="2"/>
  <c r="J155" i="2"/>
  <c r="O154" i="2"/>
  <c r="H154" i="2"/>
  <c r="J154" i="2"/>
  <c r="O153" i="2"/>
  <c r="H153" i="2"/>
  <c r="J153" i="2"/>
  <c r="O152" i="2"/>
  <c r="H152" i="2"/>
  <c r="J152" i="2"/>
  <c r="O151" i="2"/>
  <c r="H151" i="2"/>
  <c r="J151" i="2"/>
  <c r="O150" i="2"/>
  <c r="H150" i="2"/>
  <c r="J150" i="2"/>
  <c r="O149" i="2"/>
  <c r="H149" i="2"/>
  <c r="J149" i="2"/>
  <c r="O148" i="2"/>
  <c r="H148" i="2"/>
  <c r="J148" i="2"/>
  <c r="O147" i="2"/>
  <c r="H147" i="2"/>
  <c r="J147" i="2"/>
  <c r="O146" i="2"/>
  <c r="H146" i="2"/>
  <c r="J146" i="2"/>
  <c r="O145" i="2"/>
  <c r="H145" i="2"/>
  <c r="J145" i="2"/>
  <c r="O144" i="2"/>
  <c r="H144" i="2"/>
  <c r="J144" i="2"/>
  <c r="O143" i="2"/>
  <c r="N167" i="2" s="1"/>
  <c r="H143" i="2"/>
  <c r="O138" i="2"/>
  <c r="H138" i="2"/>
  <c r="J138" i="2"/>
  <c r="O137" i="2"/>
  <c r="H137" i="2"/>
  <c r="J137" i="2"/>
  <c r="O136" i="2"/>
  <c r="H136" i="2"/>
  <c r="J136" i="2"/>
  <c r="O135" i="2"/>
  <c r="H135" i="2"/>
  <c r="J135" i="2"/>
  <c r="O134" i="2"/>
  <c r="H134" i="2"/>
  <c r="J134" i="2"/>
  <c r="O133" i="2"/>
  <c r="H133" i="2"/>
  <c r="J133" i="2"/>
  <c r="O132" i="2"/>
  <c r="H132" i="2"/>
  <c r="J132" i="2"/>
  <c r="O131" i="2"/>
  <c r="H131" i="2"/>
  <c r="J131" i="2"/>
  <c r="O130" i="2"/>
  <c r="H130" i="2"/>
  <c r="J130" i="2"/>
  <c r="O129" i="2"/>
  <c r="H129" i="2"/>
  <c r="J129" i="2"/>
  <c r="O128" i="2"/>
  <c r="H128" i="2"/>
  <c r="J128" i="2"/>
  <c r="O127" i="2"/>
  <c r="H127" i="2"/>
  <c r="J127" i="2"/>
  <c r="O126" i="2"/>
  <c r="H126" i="2"/>
  <c r="J126" i="2"/>
  <c r="O125" i="2"/>
  <c r="H125" i="2"/>
  <c r="J125" i="2"/>
  <c r="O124" i="2"/>
  <c r="H124" i="2"/>
  <c r="J124" i="2"/>
  <c r="O123" i="2"/>
  <c r="H123" i="2"/>
  <c r="J123" i="2"/>
  <c r="O122" i="2"/>
  <c r="H122" i="2"/>
  <c r="J122" i="2"/>
  <c r="O121" i="2"/>
  <c r="H121" i="2"/>
  <c r="J121" i="2"/>
  <c r="O120" i="2"/>
  <c r="H120" i="2"/>
  <c r="J120" i="2"/>
  <c r="O119" i="2"/>
  <c r="H119" i="2"/>
  <c r="J119" i="2"/>
  <c r="O118" i="2"/>
  <c r="H118" i="2"/>
  <c r="J118" i="2"/>
  <c r="O117" i="2"/>
  <c r="H117" i="2"/>
  <c r="J117" i="2"/>
  <c r="O116" i="2"/>
  <c r="H116" i="2"/>
  <c r="J116" i="2"/>
  <c r="O115" i="2"/>
  <c r="O139" i="2" s="1"/>
  <c r="H115" i="2"/>
  <c r="O110" i="2"/>
  <c r="H110" i="2"/>
  <c r="J110" i="2"/>
  <c r="O109" i="2"/>
  <c r="H109" i="2"/>
  <c r="J109" i="2"/>
  <c r="O108" i="2"/>
  <c r="H108" i="2"/>
  <c r="J108" i="2"/>
  <c r="O107" i="2"/>
  <c r="H107" i="2"/>
  <c r="J107" i="2"/>
  <c r="O106" i="2"/>
  <c r="H106" i="2"/>
  <c r="J106" i="2"/>
  <c r="O105" i="2"/>
  <c r="H105" i="2"/>
  <c r="J105" i="2"/>
  <c r="O104" i="2"/>
  <c r="H104" i="2"/>
  <c r="J104" i="2"/>
  <c r="O103" i="2"/>
  <c r="H103" i="2"/>
  <c r="J103" i="2"/>
  <c r="O102" i="2"/>
  <c r="H102" i="2"/>
  <c r="J102" i="2"/>
  <c r="O101" i="2"/>
  <c r="H101" i="2"/>
  <c r="J101" i="2"/>
  <c r="O100" i="2"/>
  <c r="H100" i="2"/>
  <c r="J100" i="2"/>
  <c r="O99" i="2"/>
  <c r="H99" i="2"/>
  <c r="J99" i="2"/>
  <c r="O98" i="2"/>
  <c r="H98" i="2"/>
  <c r="J98" i="2"/>
  <c r="O97" i="2"/>
  <c r="H97" i="2"/>
  <c r="J97" i="2"/>
  <c r="O96" i="2"/>
  <c r="H96" i="2"/>
  <c r="J96" i="2"/>
  <c r="O95" i="2"/>
  <c r="H95" i="2"/>
  <c r="J95" i="2"/>
  <c r="O94" i="2"/>
  <c r="H94" i="2"/>
  <c r="J94" i="2"/>
  <c r="O93" i="2"/>
  <c r="H93" i="2"/>
  <c r="J93" i="2"/>
  <c r="O92" i="2"/>
  <c r="H92" i="2"/>
  <c r="J92" i="2"/>
  <c r="O91" i="2"/>
  <c r="H91" i="2"/>
  <c r="J91" i="2"/>
  <c r="O90" i="2"/>
  <c r="H90" i="2"/>
  <c r="J90" i="2"/>
  <c r="O89" i="2"/>
  <c r="H89" i="2"/>
  <c r="J89" i="2"/>
  <c r="O88" i="2"/>
  <c r="H88" i="2"/>
  <c r="J88" i="2"/>
  <c r="O87" i="2"/>
  <c r="O111" i="2" s="1"/>
  <c r="H87" i="2"/>
  <c r="H111" i="2" s="1"/>
  <c r="O82" i="2"/>
  <c r="H82" i="2"/>
  <c r="J82" i="2"/>
  <c r="O81" i="2"/>
  <c r="H81" i="2"/>
  <c r="J81" i="2"/>
  <c r="O80" i="2"/>
  <c r="H80" i="2"/>
  <c r="J80" i="2"/>
  <c r="O79" i="2"/>
  <c r="H79" i="2"/>
  <c r="J79" i="2"/>
  <c r="O78" i="2"/>
  <c r="H78" i="2"/>
  <c r="J78" i="2"/>
  <c r="O77" i="2"/>
  <c r="H77" i="2"/>
  <c r="J77" i="2"/>
  <c r="O76" i="2"/>
  <c r="H76" i="2"/>
  <c r="J76" i="2"/>
  <c r="O75" i="2"/>
  <c r="H75" i="2"/>
  <c r="J75" i="2"/>
  <c r="O74" i="2"/>
  <c r="H74" i="2"/>
  <c r="J74" i="2"/>
  <c r="O73" i="2"/>
  <c r="H73" i="2"/>
  <c r="J73" i="2"/>
  <c r="O72" i="2"/>
  <c r="H72" i="2"/>
  <c r="J72" i="2"/>
  <c r="O71" i="2"/>
  <c r="H71" i="2"/>
  <c r="J71" i="2"/>
  <c r="O70" i="2"/>
  <c r="H70" i="2"/>
  <c r="J70" i="2"/>
  <c r="O69" i="2"/>
  <c r="H69" i="2"/>
  <c r="J69" i="2"/>
  <c r="O68" i="2"/>
  <c r="H68" i="2"/>
  <c r="J68" i="2"/>
  <c r="O67" i="2"/>
  <c r="H67" i="2"/>
  <c r="J67" i="2"/>
  <c r="O66" i="2"/>
  <c r="H66" i="2"/>
  <c r="J66" i="2"/>
  <c r="O65" i="2"/>
  <c r="H65" i="2"/>
  <c r="J65" i="2"/>
  <c r="O64" i="2"/>
  <c r="H64" i="2"/>
  <c r="J64" i="2"/>
  <c r="O63" i="2"/>
  <c r="H63" i="2"/>
  <c r="J63" i="2"/>
  <c r="O62" i="2"/>
  <c r="H62" i="2"/>
  <c r="J62" i="2"/>
  <c r="O61" i="2"/>
  <c r="H61" i="2"/>
  <c r="J61" i="2"/>
  <c r="O60" i="2"/>
  <c r="H60" i="2"/>
  <c r="J60" i="2"/>
  <c r="O59" i="2"/>
  <c r="O83" i="2" s="1"/>
  <c r="H83" i="2"/>
  <c r="O54" i="2"/>
  <c r="H54" i="2"/>
  <c r="J54" i="2"/>
  <c r="O53" i="2"/>
  <c r="H53" i="2"/>
  <c r="J53" i="2"/>
  <c r="O52" i="2"/>
  <c r="H52" i="2"/>
  <c r="J52" i="2"/>
  <c r="O51" i="2"/>
  <c r="H51" i="2"/>
  <c r="J51" i="2"/>
  <c r="O50" i="2"/>
  <c r="H50" i="2"/>
  <c r="J50" i="2"/>
  <c r="O49" i="2"/>
  <c r="H49" i="2"/>
  <c r="J49" i="2"/>
  <c r="O48" i="2"/>
  <c r="H48" i="2"/>
  <c r="J48" i="2"/>
  <c r="O47" i="2"/>
  <c r="H47" i="2"/>
  <c r="J47" i="2"/>
  <c r="O46" i="2"/>
  <c r="H46" i="2"/>
  <c r="J46" i="2"/>
  <c r="O45" i="2"/>
  <c r="H45" i="2"/>
  <c r="J45" i="2"/>
  <c r="O44" i="2"/>
  <c r="H44" i="2"/>
  <c r="J44" i="2"/>
  <c r="O43" i="2"/>
  <c r="H43" i="2"/>
  <c r="J43" i="2"/>
  <c r="O42" i="2"/>
  <c r="H42" i="2"/>
  <c r="J42" i="2"/>
  <c r="O41" i="2"/>
  <c r="H41" i="2"/>
  <c r="J41" i="2"/>
  <c r="H40" i="2"/>
  <c r="J40" i="2"/>
  <c r="H39" i="2"/>
  <c r="J39" i="2"/>
  <c r="H38" i="2"/>
  <c r="J38" i="2"/>
  <c r="H37" i="2"/>
  <c r="J37" i="2"/>
  <c r="O36" i="2"/>
  <c r="H36" i="2"/>
  <c r="J36" i="2"/>
  <c r="O35" i="2"/>
  <c r="H35" i="2"/>
  <c r="J35" i="2"/>
  <c r="O34" i="2"/>
  <c r="H34" i="2"/>
  <c r="J34" i="2"/>
  <c r="O33" i="2"/>
  <c r="H33" i="2"/>
  <c r="J33" i="2"/>
  <c r="O32" i="2"/>
  <c r="H32" i="2"/>
  <c r="J32" i="2"/>
  <c r="O31" i="2"/>
  <c r="O55" i="2" s="1"/>
  <c r="H31" i="2"/>
  <c r="K20" i="2"/>
  <c r="Q17" i="2"/>
  <c r="DE14" i="13" l="1"/>
  <c r="DS13" i="13"/>
  <c r="BB13" i="13" s="1"/>
  <c r="EA15" i="13"/>
  <c r="BF15" i="12"/>
  <c r="M25" i="12" s="1"/>
  <c r="BC15" i="12"/>
  <c r="M24" i="12" s="1"/>
  <c r="DC14" i="12"/>
  <c r="DD14" i="12" s="1"/>
  <c r="DF14" i="12" s="1"/>
  <c r="DX14" i="12"/>
  <c r="DY14" i="12" s="1"/>
  <c r="CE14" i="12"/>
  <c r="DI14" i="12"/>
  <c r="DJ14" i="12" s="1"/>
  <c r="BA14" i="12"/>
  <c r="L23" i="12" s="1"/>
  <c r="DF12" i="10"/>
  <c r="DT11" i="10"/>
  <c r="BC11" i="10" s="1"/>
  <c r="EB13" i="10"/>
  <c r="H55" i="2"/>
  <c r="H56" i="2" s="1"/>
  <c r="EJ5" i="1"/>
  <c r="BB5" i="1"/>
  <c r="DG5" i="1"/>
  <c r="DH5" i="1" s="1"/>
  <c r="DA5" i="1"/>
  <c r="DB5" i="1" s="1"/>
  <c r="DD5" i="1" s="1"/>
  <c r="C30" i="11" s="1"/>
  <c r="CC5" i="1"/>
  <c r="CI5" i="1" s="1"/>
  <c r="DV5" i="1"/>
  <c r="DW5" i="1" s="1"/>
  <c r="DX5" i="1" s="1"/>
  <c r="EK34" i="1"/>
  <c r="EK59" i="1" s="1"/>
  <c r="EK60" i="1" s="1"/>
  <c r="EL6" i="1" s="1"/>
  <c r="BF15" i="13" l="1"/>
  <c r="M25" i="13" s="1"/>
  <c r="BC15" i="13"/>
  <c r="M24" i="13" s="1"/>
  <c r="CB14" i="13"/>
  <c r="DF14" i="13"/>
  <c r="DG14" i="13" s="1"/>
  <c r="CZ14" i="13"/>
  <c r="DA14" i="13" s="1"/>
  <c r="DC14" i="13" s="1"/>
  <c r="DU14" i="13"/>
  <c r="DV14" i="13" s="1"/>
  <c r="BA14" i="13"/>
  <c r="L23" i="13" s="1"/>
  <c r="DK14" i="12"/>
  <c r="EL14" i="12" s="1"/>
  <c r="EV43" i="12" s="1"/>
  <c r="EW43" i="12" s="1"/>
  <c r="EX43" i="12" s="1"/>
  <c r="EY43" i="12" s="1"/>
  <c r="EZ43" i="12" s="1"/>
  <c r="FA43" i="12" s="1"/>
  <c r="CK14" i="12"/>
  <c r="CL14" i="12" s="1"/>
  <c r="CM14" i="12" s="1"/>
  <c r="CN14" i="12" s="1"/>
  <c r="DZ14" i="12"/>
  <c r="BD14" i="12" s="1"/>
  <c r="EI14" i="12"/>
  <c r="EJ14" i="12" s="1"/>
  <c r="DP14" i="12" s="1"/>
  <c r="DQ14" i="12" s="1"/>
  <c r="BE5" i="1"/>
  <c r="DV12" i="10"/>
  <c r="DW12" i="10" s="1"/>
  <c r="DA12" i="10"/>
  <c r="CC12" i="10"/>
  <c r="DG12" i="10"/>
  <c r="DH12" i="10" s="1"/>
  <c r="BB12" i="10"/>
  <c r="K22" i="10" s="1"/>
  <c r="BD13" i="10"/>
  <c r="L23" i="10" s="1"/>
  <c r="BG13" i="10"/>
  <c r="L24" i="10" s="1"/>
  <c r="EL34" i="1"/>
  <c r="EM34" i="1" s="1"/>
  <c r="EN34" i="1" s="1"/>
  <c r="EO34" i="1" s="1"/>
  <c r="EP34" i="1" s="1"/>
  <c r="CS5" i="1"/>
  <c r="CT5" i="1" s="1"/>
  <c r="CU5" i="1" s="1"/>
  <c r="DY7" i="1" s="1"/>
  <c r="DI5" i="1"/>
  <c r="DJ5" i="1" s="1"/>
  <c r="CH14" i="13" l="1"/>
  <c r="CI14" i="13" s="1"/>
  <c r="CJ14" i="13" s="1"/>
  <c r="CK14" i="13" s="1"/>
  <c r="DW14" i="13"/>
  <c r="BD14" i="13" s="1"/>
  <c r="EF14" i="13"/>
  <c r="EG14" i="13" s="1"/>
  <c r="DM14" i="13" s="1"/>
  <c r="DN14" i="13" s="1"/>
  <c r="DH14" i="13"/>
  <c r="EV59" i="12"/>
  <c r="EV60" i="12" s="1"/>
  <c r="EN15" i="12" s="1"/>
  <c r="DL14" i="12"/>
  <c r="DN14" i="12" s="1"/>
  <c r="DR14" i="12" s="1"/>
  <c r="CU14" i="12"/>
  <c r="CV14" i="12" s="1"/>
  <c r="FB43" i="12"/>
  <c r="FC43" i="12" s="1"/>
  <c r="FD43" i="12" s="1"/>
  <c r="FE43" i="12" s="1"/>
  <c r="FF43" i="12" s="1"/>
  <c r="FG43" i="12" s="1"/>
  <c r="FH43" i="12" s="1"/>
  <c r="FI43" i="12" s="1"/>
  <c r="FJ43" i="12" s="1"/>
  <c r="FA58" i="12"/>
  <c r="EM19" i="12" s="1"/>
  <c r="BF5" i="1"/>
  <c r="DB12" i="10"/>
  <c r="DD12" i="10" s="1"/>
  <c r="CI12" i="10"/>
  <c r="CJ12" i="10" s="1"/>
  <c r="CK12" i="10" s="1"/>
  <c r="EG12" i="10"/>
  <c r="EH12" i="10" s="1"/>
  <c r="DN12" i="10" s="1"/>
  <c r="DO12" i="10" s="1"/>
  <c r="DX12" i="10"/>
  <c r="BE12" i="10" s="1"/>
  <c r="BW5" i="1"/>
  <c r="EP58" i="1"/>
  <c r="EK10" i="1" s="1"/>
  <c r="EQ34" i="1"/>
  <c r="CV5" i="1"/>
  <c r="DL5" i="1"/>
  <c r="DP5" i="1" s="1"/>
  <c r="DR5" i="1" s="1"/>
  <c r="G31" i="11" s="1"/>
  <c r="EI14" i="13" l="1"/>
  <c r="ES43" i="13" s="1"/>
  <c r="DI14" i="13"/>
  <c r="CR14" i="13"/>
  <c r="CS14" i="13" s="1"/>
  <c r="DM14" i="12"/>
  <c r="DT14" i="12"/>
  <c r="DU14" i="12" s="1"/>
  <c r="CW14" i="12"/>
  <c r="CL12" i="10"/>
  <c r="DE12" i="10"/>
  <c r="EJ12" i="10" s="1"/>
  <c r="ES41" i="10" s="1"/>
  <c r="CS12" i="10"/>
  <c r="CT12" i="10" s="1"/>
  <c r="DK5" i="1"/>
  <c r="DS5" i="1"/>
  <c r="ER34" i="1"/>
  <c r="CT14" i="13" l="1"/>
  <c r="CU14" i="13" s="1"/>
  <c r="DK14" i="13"/>
  <c r="DO14" i="13" s="1"/>
  <c r="ET43" i="13"/>
  <c r="EU43" i="13" s="1"/>
  <c r="EV43" i="13" s="1"/>
  <c r="EW43" i="13" s="1"/>
  <c r="EX43" i="13" s="1"/>
  <c r="ES59" i="13"/>
  <c r="ES60" i="13" s="1"/>
  <c r="EK15" i="13" s="1"/>
  <c r="DH15" i="12"/>
  <c r="DV14" i="12"/>
  <c r="BB14" i="12" s="1"/>
  <c r="BW14" i="12"/>
  <c r="BE14" i="12"/>
  <c r="EA16" i="12"/>
  <c r="CX14" i="12"/>
  <c r="DJ12" i="10"/>
  <c r="DL12" i="10" s="1"/>
  <c r="DP12" i="10" s="1"/>
  <c r="ET41" i="10"/>
  <c r="EU41" i="10" s="1"/>
  <c r="EV41" i="10" s="1"/>
  <c r="EW41" i="10" s="1"/>
  <c r="EX41" i="10" s="1"/>
  <c r="ES58" i="10"/>
  <c r="ES59" i="10" s="1"/>
  <c r="EL13" i="10" s="1"/>
  <c r="DF6" i="1"/>
  <c r="DT5" i="1"/>
  <c r="BC5" i="1" s="1"/>
  <c r="ES34" i="1"/>
  <c r="CU12" i="10"/>
  <c r="EY43" i="13" l="1"/>
  <c r="EZ43" i="13" s="1"/>
  <c r="FA43" i="13" s="1"/>
  <c r="FB43" i="13" s="1"/>
  <c r="FC43" i="13" s="1"/>
  <c r="FD43" i="13" s="1"/>
  <c r="FE43" i="13" s="1"/>
  <c r="FF43" i="13" s="1"/>
  <c r="FG43" i="13" s="1"/>
  <c r="EX58" i="13"/>
  <c r="EJ19" i="13" s="1"/>
  <c r="DQ14" i="13"/>
  <c r="DR14" i="13" s="1"/>
  <c r="DJ14" i="13"/>
  <c r="BV14" i="13"/>
  <c r="BE14" i="13"/>
  <c r="DX16" i="13"/>
  <c r="ED16" i="12"/>
  <c r="DX15" i="12"/>
  <c r="DY15" i="12" s="1"/>
  <c r="DI15" i="12"/>
  <c r="DJ15" i="12" s="1"/>
  <c r="DC15" i="12"/>
  <c r="DD15" i="12" s="1"/>
  <c r="DF15" i="12" s="1"/>
  <c r="CE15" i="12"/>
  <c r="BA15" i="12"/>
  <c r="M23" i="12" s="1"/>
  <c r="DG6" i="1"/>
  <c r="DH6" i="1" s="1"/>
  <c r="E31" i="11"/>
  <c r="DR12" i="10"/>
  <c r="DS12" i="10" s="1"/>
  <c r="BW12" i="10"/>
  <c r="BF12" i="10"/>
  <c r="DY14" i="10"/>
  <c r="DK12" i="10"/>
  <c r="EY41" i="10"/>
  <c r="EZ41" i="10" s="1"/>
  <c r="FA41" i="10" s="1"/>
  <c r="FB41" i="10" s="1"/>
  <c r="FC41" i="10" s="1"/>
  <c r="FD41" i="10" s="1"/>
  <c r="FE41" i="10" s="1"/>
  <c r="FF41" i="10" s="1"/>
  <c r="FG41" i="10" s="1"/>
  <c r="FH41" i="10" s="1"/>
  <c r="EX57" i="10"/>
  <c r="EK17" i="10" s="1"/>
  <c r="CV12" i="10"/>
  <c r="ET34" i="1"/>
  <c r="BB6" i="1"/>
  <c r="DA6" i="1"/>
  <c r="DB6" i="1" s="1"/>
  <c r="DD6" i="1" s="1"/>
  <c r="C31" i="11" s="1"/>
  <c r="DV6" i="1"/>
  <c r="DW6" i="1" s="1"/>
  <c r="CC6" i="1"/>
  <c r="DS14" i="13" l="1"/>
  <c r="BB14" i="13" s="1"/>
  <c r="DE15" i="13"/>
  <c r="EA16" i="13"/>
  <c r="CK15" i="12"/>
  <c r="CL15" i="12" s="1"/>
  <c r="CM15" i="12" s="1"/>
  <c r="CN15" i="12" s="1"/>
  <c r="DK15" i="12"/>
  <c r="EI15" i="12"/>
  <c r="EJ15" i="12" s="1"/>
  <c r="DP15" i="12" s="1"/>
  <c r="DQ15" i="12" s="1"/>
  <c r="DZ15" i="12"/>
  <c r="BD15" i="12" s="1"/>
  <c r="BF16" i="12"/>
  <c r="N25" i="12" s="1"/>
  <c r="BC16" i="12"/>
  <c r="N24" i="12" s="1"/>
  <c r="E23" i="1"/>
  <c r="F31" i="11"/>
  <c r="H31" i="11" s="1"/>
  <c r="DT12" i="10"/>
  <c r="BC12" i="10" s="1"/>
  <c r="DF13" i="10"/>
  <c r="EB14" i="10"/>
  <c r="I31" i="7"/>
  <c r="DI6" i="1"/>
  <c r="EJ6" i="1" s="1"/>
  <c r="EL35" i="1" s="1"/>
  <c r="EL59" i="1" s="1"/>
  <c r="EL60" i="1" s="1"/>
  <c r="EL7" i="1" s="1"/>
  <c r="DX6" i="1"/>
  <c r="EG6" i="1"/>
  <c r="EH6" i="1" s="1"/>
  <c r="DN6" i="1" s="1"/>
  <c r="CI6" i="1"/>
  <c r="CS6" i="1" s="1"/>
  <c r="CT6" i="1" s="1"/>
  <c r="CU6" i="1" s="1"/>
  <c r="DY8" i="1" s="1"/>
  <c r="EU34" i="1"/>
  <c r="BC16" i="13" l="1"/>
  <c r="N24" i="13" s="1"/>
  <c r="BF16" i="13"/>
  <c r="N25" i="13" s="1"/>
  <c r="DF15" i="13"/>
  <c r="DU15" i="13"/>
  <c r="DV15" i="13" s="1"/>
  <c r="CB15" i="13"/>
  <c r="CZ15" i="13"/>
  <c r="DA15" i="13" s="1"/>
  <c r="DC15" i="13" s="1"/>
  <c r="BA15" i="13"/>
  <c r="M23" i="13" s="1"/>
  <c r="EL15" i="12"/>
  <c r="EW44" i="12" s="1"/>
  <c r="DL15" i="12"/>
  <c r="CU15" i="12"/>
  <c r="CV15" i="12" s="1"/>
  <c r="BE6" i="1"/>
  <c r="DZ7" i="1"/>
  <c r="BG14" i="10"/>
  <c r="M24" i="10" s="1"/>
  <c r="BD14" i="10"/>
  <c r="M23" i="10" s="1"/>
  <c r="DG13" i="10"/>
  <c r="DH13" i="10" s="1"/>
  <c r="CC13" i="10"/>
  <c r="DV13" i="10"/>
  <c r="DW13" i="10" s="1"/>
  <c r="DA13" i="10"/>
  <c r="DB13" i="10" s="1"/>
  <c r="BB13" i="10"/>
  <c r="L22" i="10" s="1"/>
  <c r="EM35" i="1"/>
  <c r="EN35" i="1" s="1"/>
  <c r="DJ6" i="1"/>
  <c r="DL6" i="1" s="1"/>
  <c r="DO6" i="1"/>
  <c r="EV34" i="1"/>
  <c r="CV6" i="1"/>
  <c r="DG15" i="13" l="1"/>
  <c r="DH15" i="13" s="1"/>
  <c r="EF15" i="13"/>
  <c r="EG15" i="13" s="1"/>
  <c r="DM15" i="13" s="1"/>
  <c r="DN15" i="13" s="1"/>
  <c r="DW15" i="13"/>
  <c r="BD15" i="13" s="1"/>
  <c r="CH15" i="13"/>
  <c r="CI15" i="13" s="1"/>
  <c r="CJ15" i="13" s="1"/>
  <c r="CK15" i="13" s="1"/>
  <c r="CW15" i="12"/>
  <c r="DN15" i="12"/>
  <c r="DR15" i="12" s="1"/>
  <c r="EX44" i="12"/>
  <c r="EY44" i="12" s="1"/>
  <c r="EZ44" i="12" s="1"/>
  <c r="FA44" i="12" s="1"/>
  <c r="FB44" i="12" s="1"/>
  <c r="EW59" i="12"/>
  <c r="EW60" i="12" s="1"/>
  <c r="EN16" i="12" s="1"/>
  <c r="EB7" i="1"/>
  <c r="DE13" i="10"/>
  <c r="DD13" i="10"/>
  <c r="CI13" i="10"/>
  <c r="CJ13" i="10" s="1"/>
  <c r="CK13" i="10" s="1"/>
  <c r="EG13" i="10"/>
  <c r="EH13" i="10" s="1"/>
  <c r="DN13" i="10" s="1"/>
  <c r="DO13" i="10" s="1"/>
  <c r="DX13" i="10"/>
  <c r="BE13" i="10" s="1"/>
  <c r="DP6" i="1"/>
  <c r="DR6" i="1" s="1"/>
  <c r="G32" i="11" s="1"/>
  <c r="EW34" i="1"/>
  <c r="BF6" i="1"/>
  <c r="BW6" i="1"/>
  <c r="DK6" i="1"/>
  <c r="EO35" i="1"/>
  <c r="EI15" i="13" l="1"/>
  <c r="ET44" i="13" s="1"/>
  <c r="DI15" i="13"/>
  <c r="DK15" i="13" s="1"/>
  <c r="DO15" i="13" s="1"/>
  <c r="CR15" i="13"/>
  <c r="CS15" i="13" s="1"/>
  <c r="FC44" i="12"/>
  <c r="FD44" i="12" s="1"/>
  <c r="FE44" i="12" s="1"/>
  <c r="FF44" i="12" s="1"/>
  <c r="FG44" i="12" s="1"/>
  <c r="FH44" i="12" s="1"/>
  <c r="FI44" i="12" s="1"/>
  <c r="FJ44" i="12" s="1"/>
  <c r="FB58" i="12"/>
  <c r="EM20" i="12" s="1"/>
  <c r="DM15" i="12"/>
  <c r="DT15" i="12"/>
  <c r="DU15" i="12" s="1"/>
  <c r="BW15" i="12"/>
  <c r="BE15" i="12"/>
  <c r="EA17" i="12"/>
  <c r="CX15" i="12"/>
  <c r="CL13" i="10"/>
  <c r="CS13" i="10"/>
  <c r="CT13" i="10" s="1"/>
  <c r="CU13" i="10" s="1"/>
  <c r="EJ13" i="10"/>
  <c r="ET42" i="10" s="1"/>
  <c r="DJ13" i="10"/>
  <c r="DS6" i="1"/>
  <c r="DT6" i="1" s="1"/>
  <c r="BC6" i="1" s="1"/>
  <c r="EP35" i="1"/>
  <c r="EX34" i="1"/>
  <c r="EU44" i="13" l="1"/>
  <c r="EV44" i="13" s="1"/>
  <c r="EW44" i="13" s="1"/>
  <c r="EX44" i="13" s="1"/>
  <c r="EY44" i="13" s="1"/>
  <c r="ET59" i="13"/>
  <c r="ET60" i="13" s="1"/>
  <c r="EK16" i="13" s="1"/>
  <c r="DQ15" i="13"/>
  <c r="DR15" i="13" s="1"/>
  <c r="DJ15" i="13"/>
  <c r="CT15" i="13"/>
  <c r="DV15" i="12"/>
  <c r="BB15" i="12" s="1"/>
  <c r="DH16" i="12"/>
  <c r="ED17" i="12"/>
  <c r="CV13" i="10"/>
  <c r="EU42" i="10"/>
  <c r="EV42" i="10" s="1"/>
  <c r="EW42" i="10" s="1"/>
  <c r="EX42" i="10" s="1"/>
  <c r="EY42" i="10" s="1"/>
  <c r="ET58" i="10"/>
  <c r="ET59" i="10" s="1"/>
  <c r="EL14" i="10" s="1"/>
  <c r="DL13" i="10"/>
  <c r="DP13" i="10" s="1"/>
  <c r="BW13" i="10"/>
  <c r="BF13" i="10"/>
  <c r="DY15" i="10"/>
  <c r="DF7" i="1"/>
  <c r="E32" i="11" s="1"/>
  <c r="EQ35" i="1"/>
  <c r="EY34" i="1"/>
  <c r="EZ44" i="13" l="1"/>
  <c r="FA44" i="13" s="1"/>
  <c r="FB44" i="13" s="1"/>
  <c r="FC44" i="13" s="1"/>
  <c r="FD44" i="13" s="1"/>
  <c r="FE44" i="13" s="1"/>
  <c r="FF44" i="13" s="1"/>
  <c r="FG44" i="13" s="1"/>
  <c r="EY58" i="13"/>
  <c r="EJ20" i="13" s="1"/>
  <c r="DE16" i="13"/>
  <c r="DS15" i="13"/>
  <c r="BB15" i="13" s="1"/>
  <c r="BV15" i="13"/>
  <c r="BE15" i="13"/>
  <c r="DX17" i="13"/>
  <c r="CU15" i="13"/>
  <c r="DC16" i="12"/>
  <c r="DD16" i="12" s="1"/>
  <c r="DF16" i="12" s="1"/>
  <c r="DX16" i="12"/>
  <c r="DY16" i="12" s="1"/>
  <c r="CE16" i="12"/>
  <c r="DI16" i="12"/>
  <c r="DJ16" i="12" s="1"/>
  <c r="BA16" i="12"/>
  <c r="N23" i="12" s="1"/>
  <c r="BF17" i="12"/>
  <c r="O25" i="12" s="1"/>
  <c r="BC17" i="12"/>
  <c r="O24" i="12" s="1"/>
  <c r="DV7" i="1"/>
  <c r="DW7" i="1" s="1"/>
  <c r="DG7" i="1"/>
  <c r="DH7" i="1" s="1"/>
  <c r="DR13" i="10"/>
  <c r="DS13" i="10" s="1"/>
  <c r="EZ42" i="10"/>
  <c r="FA42" i="10" s="1"/>
  <c r="FB42" i="10" s="1"/>
  <c r="FC42" i="10" s="1"/>
  <c r="FD42" i="10" s="1"/>
  <c r="FE42" i="10" s="1"/>
  <c r="FF42" i="10" s="1"/>
  <c r="FG42" i="10" s="1"/>
  <c r="FH42" i="10" s="1"/>
  <c r="EY57" i="10"/>
  <c r="EK18" i="10" s="1"/>
  <c r="EB15" i="10"/>
  <c r="DK13" i="10"/>
  <c r="CC7" i="1"/>
  <c r="CI7" i="1" s="1"/>
  <c r="DA7" i="1"/>
  <c r="DB7" i="1" s="1"/>
  <c r="DD7" i="1" s="1"/>
  <c r="C32" i="11" s="1"/>
  <c r="EZ34" i="1"/>
  <c r="ER35" i="1"/>
  <c r="EQ58" i="1"/>
  <c r="EK11" i="1" s="1"/>
  <c r="EA17" i="13" l="1"/>
  <c r="DU16" i="13"/>
  <c r="DV16" i="13" s="1"/>
  <c r="DF16" i="13"/>
  <c r="DG16" i="13" s="1"/>
  <c r="CZ16" i="13"/>
  <c r="DA16" i="13" s="1"/>
  <c r="DC16" i="13" s="1"/>
  <c r="CB16" i="13"/>
  <c r="BA16" i="13"/>
  <c r="N23" i="13" s="1"/>
  <c r="DK16" i="12"/>
  <c r="EL16" i="12" s="1"/>
  <c r="EX45" i="12" s="1"/>
  <c r="EY45" i="12" s="1"/>
  <c r="EZ45" i="12" s="1"/>
  <c r="FA45" i="12" s="1"/>
  <c r="FB45" i="12" s="1"/>
  <c r="FC45" i="12" s="1"/>
  <c r="CK16" i="12"/>
  <c r="CL16" i="12" s="1"/>
  <c r="CM16" i="12" s="1"/>
  <c r="CN16" i="12" s="1"/>
  <c r="EI16" i="12"/>
  <c r="EJ16" i="12" s="1"/>
  <c r="DP16" i="12" s="1"/>
  <c r="DQ16" i="12" s="1"/>
  <c r="DZ16" i="12"/>
  <c r="BD16" i="12" s="1"/>
  <c r="EG7" i="1"/>
  <c r="EH7" i="1" s="1"/>
  <c r="DN7" i="1" s="1"/>
  <c r="DO7" i="1" s="1"/>
  <c r="DX7" i="1"/>
  <c r="DF14" i="10"/>
  <c r="DT13" i="10"/>
  <c r="BC13" i="10" s="1"/>
  <c r="BD15" i="10"/>
  <c r="N23" i="10" s="1"/>
  <c r="BG15" i="10"/>
  <c r="N24" i="10" s="1"/>
  <c r="DI7" i="1"/>
  <c r="EJ7" i="1" s="1"/>
  <c r="EM36" i="1" s="1"/>
  <c r="CS7" i="1"/>
  <c r="CT7" i="1" s="1"/>
  <c r="CU7" i="1" s="1"/>
  <c r="DY9" i="1" s="1"/>
  <c r="CJ7" i="1"/>
  <c r="CK7" i="1" s="1"/>
  <c r="BD7" i="1"/>
  <c r="F24" i="1" s="1"/>
  <c r="BG7" i="1"/>
  <c r="F25" i="1" s="1"/>
  <c r="BB7" i="1"/>
  <c r="FA34" i="1"/>
  <c r="ES35" i="1"/>
  <c r="CH16" i="13" l="1"/>
  <c r="CI16" i="13" s="1"/>
  <c r="CJ16" i="13" s="1"/>
  <c r="CK16" i="13" s="1"/>
  <c r="DW16" i="13"/>
  <c r="BD16" i="13" s="1"/>
  <c r="EF16" i="13"/>
  <c r="EG16" i="13" s="1"/>
  <c r="DM16" i="13" s="1"/>
  <c r="DN16" i="13" s="1"/>
  <c r="BF17" i="13"/>
  <c r="O25" i="13" s="1"/>
  <c r="BC17" i="13"/>
  <c r="O24" i="13" s="1"/>
  <c r="DH16" i="13"/>
  <c r="EX59" i="12"/>
  <c r="EX60" i="12" s="1"/>
  <c r="EN17" i="12" s="1"/>
  <c r="DL16" i="12"/>
  <c r="DN16" i="12" s="1"/>
  <c r="DR16" i="12" s="1"/>
  <c r="FD45" i="12"/>
  <c r="FE45" i="12" s="1"/>
  <c r="FF45" i="12" s="1"/>
  <c r="FG45" i="12" s="1"/>
  <c r="FH45" i="12" s="1"/>
  <c r="FI45" i="12" s="1"/>
  <c r="FJ45" i="12" s="1"/>
  <c r="FC58" i="12"/>
  <c r="EM21" i="12" s="1"/>
  <c r="CU16" i="12"/>
  <c r="CV16" i="12" s="1"/>
  <c r="BE7" i="1"/>
  <c r="DZ8" i="1"/>
  <c r="F23" i="1"/>
  <c r="F32" i="11"/>
  <c r="H32" i="11" s="1"/>
  <c r="CL7" i="1"/>
  <c r="CC14" i="10"/>
  <c r="DV14" i="10"/>
  <c r="DW14" i="10" s="1"/>
  <c r="DA14" i="10"/>
  <c r="DB14" i="10" s="1"/>
  <c r="DG14" i="10"/>
  <c r="DH14" i="10" s="1"/>
  <c r="BB14" i="10"/>
  <c r="M22" i="10" s="1"/>
  <c r="I32" i="7"/>
  <c r="DJ7" i="1"/>
  <c r="DL7" i="1" s="1"/>
  <c r="DP7" i="1" s="1"/>
  <c r="EN36" i="1"/>
  <c r="EM59" i="1"/>
  <c r="EM60" i="1" s="1"/>
  <c r="EL8" i="1" s="1"/>
  <c r="ET35" i="1"/>
  <c r="FB34" i="1"/>
  <c r="EI16" i="13" l="1"/>
  <c r="EU45" i="13" s="1"/>
  <c r="DI16" i="13"/>
  <c r="CR16" i="13"/>
  <c r="CS16" i="13" s="1"/>
  <c r="CW16" i="12"/>
  <c r="DT16" i="12"/>
  <c r="DU16" i="12" s="1"/>
  <c r="DM16" i="12"/>
  <c r="EB8" i="1"/>
  <c r="DR7" i="1"/>
  <c r="CV7" i="1"/>
  <c r="DE14" i="10"/>
  <c r="EJ14" i="10" s="1"/>
  <c r="EU43" i="10" s="1"/>
  <c r="EU58" i="10" s="1"/>
  <c r="EU59" i="10" s="1"/>
  <c r="EL15" i="10" s="1"/>
  <c r="DD14" i="10"/>
  <c r="EG14" i="10"/>
  <c r="EH14" i="10" s="1"/>
  <c r="DN14" i="10" s="1"/>
  <c r="DO14" i="10" s="1"/>
  <c r="DX14" i="10"/>
  <c r="BE14" i="10" s="1"/>
  <c r="CI14" i="10"/>
  <c r="CJ14" i="10" s="1"/>
  <c r="CK14" i="10" s="1"/>
  <c r="BW7" i="1"/>
  <c r="BF7" i="1"/>
  <c r="EO36" i="1"/>
  <c r="FC34" i="1"/>
  <c r="EU35" i="1"/>
  <c r="DK7" i="1"/>
  <c r="DK16" i="13" l="1"/>
  <c r="DO16" i="13" s="1"/>
  <c r="CT16" i="13"/>
  <c r="EV45" i="13"/>
  <c r="EW45" i="13" s="1"/>
  <c r="EX45" i="13" s="1"/>
  <c r="EY45" i="13" s="1"/>
  <c r="EZ45" i="13" s="1"/>
  <c r="EU59" i="13"/>
  <c r="EU60" i="13" s="1"/>
  <c r="EK17" i="13" s="1"/>
  <c r="DH17" i="12"/>
  <c r="DV16" i="12"/>
  <c r="BB16" i="12" s="1"/>
  <c r="BW16" i="12"/>
  <c r="BE16" i="12"/>
  <c r="EA18" i="12"/>
  <c r="CX16" i="12"/>
  <c r="DS7" i="1"/>
  <c r="DT7" i="1" s="1"/>
  <c r="BC7" i="1" s="1"/>
  <c r="G33" i="11"/>
  <c r="CL14" i="10"/>
  <c r="EV43" i="10"/>
  <c r="EW43" i="10" s="1"/>
  <c r="EX43" i="10" s="1"/>
  <c r="EY43" i="10" s="1"/>
  <c r="EZ43" i="10" s="1"/>
  <c r="EZ57" i="10" s="1"/>
  <c r="EK19" i="10" s="1"/>
  <c r="DJ14" i="10"/>
  <c r="DL14" i="10" s="1"/>
  <c r="DP14" i="10" s="1"/>
  <c r="CS14" i="10"/>
  <c r="CT14" i="10" s="1"/>
  <c r="FD34" i="1"/>
  <c r="EV35" i="1"/>
  <c r="EP36" i="1"/>
  <c r="BV16" i="13" l="1"/>
  <c r="BE16" i="13"/>
  <c r="DX18" i="13"/>
  <c r="CU16" i="13"/>
  <c r="DJ16" i="13"/>
  <c r="FA45" i="13"/>
  <c r="FB45" i="13" s="1"/>
  <c r="FC45" i="13" s="1"/>
  <c r="FD45" i="13" s="1"/>
  <c r="FE45" i="13" s="1"/>
  <c r="FF45" i="13" s="1"/>
  <c r="FG45" i="13" s="1"/>
  <c r="EZ58" i="13"/>
  <c r="EJ21" i="13" s="1"/>
  <c r="DQ16" i="13"/>
  <c r="DR16" i="13" s="1"/>
  <c r="ED18" i="12"/>
  <c r="DX17" i="12"/>
  <c r="DY17" i="12" s="1"/>
  <c r="CE17" i="12"/>
  <c r="DI17" i="12"/>
  <c r="DJ17" i="12" s="1"/>
  <c r="DC17" i="12"/>
  <c r="DD17" i="12" s="1"/>
  <c r="DF17" i="12" s="1"/>
  <c r="BA17" i="12"/>
  <c r="O23" i="12" s="1"/>
  <c r="DF8" i="1"/>
  <c r="DG8" i="1" s="1"/>
  <c r="DH8" i="1" s="1"/>
  <c r="FA43" i="10"/>
  <c r="FB43" i="10" s="1"/>
  <c r="FC43" i="10" s="1"/>
  <c r="FD43" i="10" s="1"/>
  <c r="FE43" i="10" s="1"/>
  <c r="FF43" i="10" s="1"/>
  <c r="FG43" i="10" s="1"/>
  <c r="FH43" i="10" s="1"/>
  <c r="DR14" i="10"/>
  <c r="DS14" i="10" s="1"/>
  <c r="DK14" i="10"/>
  <c r="FE34" i="1"/>
  <c r="EW35" i="1"/>
  <c r="EQ36" i="1"/>
  <c r="CU14" i="10"/>
  <c r="EA18" i="13" l="1"/>
  <c r="DE17" i="13"/>
  <c r="DS16" i="13"/>
  <c r="BB16" i="13" s="1"/>
  <c r="DK17" i="12"/>
  <c r="CK17" i="12"/>
  <c r="CL17" i="12" s="1"/>
  <c r="CM17" i="12" s="1"/>
  <c r="CN17" i="12" s="1"/>
  <c r="DZ17" i="12"/>
  <c r="BD17" i="12" s="1"/>
  <c r="EI17" i="12"/>
  <c r="EJ17" i="12" s="1"/>
  <c r="DP17" i="12" s="1"/>
  <c r="DQ17" i="12" s="1"/>
  <c r="BC18" i="12"/>
  <c r="P24" i="12" s="1"/>
  <c r="BF18" i="12"/>
  <c r="P25" i="12" s="1"/>
  <c r="DV8" i="1"/>
  <c r="DW8" i="1" s="1"/>
  <c r="DA8" i="1"/>
  <c r="DB8" i="1" s="1"/>
  <c r="DD8" i="1" s="1"/>
  <c r="C33" i="11" s="1"/>
  <c r="CC8" i="1"/>
  <c r="CI8" i="1" s="1"/>
  <c r="E33" i="11"/>
  <c r="CV14" i="10"/>
  <c r="DT14" i="10"/>
  <c r="BC14" i="10" s="1"/>
  <c r="DF15" i="10"/>
  <c r="BW14" i="10"/>
  <c r="BF14" i="10"/>
  <c r="DY16" i="10"/>
  <c r="FF34" i="1"/>
  <c r="EX35" i="1"/>
  <c r="ER36" i="1"/>
  <c r="CB17" i="13" l="1"/>
  <c r="DU17" i="13"/>
  <c r="DV17" i="13" s="1"/>
  <c r="CZ17" i="13"/>
  <c r="DA17" i="13" s="1"/>
  <c r="DC17" i="13" s="1"/>
  <c r="DF17" i="13"/>
  <c r="DG17" i="13" s="1"/>
  <c r="BA17" i="13"/>
  <c r="O23" i="13" s="1"/>
  <c r="BF18" i="13"/>
  <c r="P25" i="13" s="1"/>
  <c r="BC18" i="13"/>
  <c r="P24" i="13" s="1"/>
  <c r="CU17" i="12"/>
  <c r="CV17" i="12" s="1"/>
  <c r="EL17" i="12"/>
  <c r="EY46" i="12" s="1"/>
  <c r="DL17" i="12"/>
  <c r="EG8" i="1"/>
  <c r="EH8" i="1" s="1"/>
  <c r="DN8" i="1" s="1"/>
  <c r="DO8" i="1" s="1"/>
  <c r="DX8" i="1"/>
  <c r="DI8" i="1"/>
  <c r="EJ8" i="1" s="1"/>
  <c r="EN37" i="1" s="1"/>
  <c r="DG15" i="10"/>
  <c r="DH15" i="10" s="1"/>
  <c r="DV15" i="10"/>
  <c r="DW15" i="10" s="1"/>
  <c r="DA15" i="10"/>
  <c r="CC15" i="10"/>
  <c r="BB15" i="10"/>
  <c r="N22" i="10" s="1"/>
  <c r="EB16" i="10"/>
  <c r="CS8" i="1"/>
  <c r="CT8" i="1" s="1"/>
  <c r="CU8" i="1" s="1"/>
  <c r="DY10" i="1" s="1"/>
  <c r="CJ8" i="1"/>
  <c r="CK8" i="1" s="1"/>
  <c r="BD8" i="1"/>
  <c r="G24" i="1" s="1"/>
  <c r="BG8" i="1"/>
  <c r="G25" i="1" s="1"/>
  <c r="BB8" i="1"/>
  <c r="EY35" i="1"/>
  <c r="ES36" i="1"/>
  <c r="ER58" i="1"/>
  <c r="EK12" i="1" s="1"/>
  <c r="FG34" i="1"/>
  <c r="DH17" i="13" l="1"/>
  <c r="EF17" i="13"/>
  <c r="EG17" i="13" s="1"/>
  <c r="DM17" i="13" s="1"/>
  <c r="DN17" i="13" s="1"/>
  <c r="DW17" i="13"/>
  <c r="BD17" i="13" s="1"/>
  <c r="CH17" i="13"/>
  <c r="CI17" i="13" s="1"/>
  <c r="CJ17" i="13" s="1"/>
  <c r="CK17" i="13" s="1"/>
  <c r="DN17" i="12"/>
  <c r="DR17" i="12" s="1"/>
  <c r="EZ46" i="12"/>
  <c r="FA46" i="12" s="1"/>
  <c r="FB46" i="12" s="1"/>
  <c r="FC46" i="12" s="1"/>
  <c r="FD46" i="12" s="1"/>
  <c r="EY59" i="12"/>
  <c r="EY60" i="12" s="1"/>
  <c r="EN18" i="12" s="1"/>
  <c r="CW17" i="12"/>
  <c r="CX17" i="12" s="1"/>
  <c r="BE8" i="1"/>
  <c r="DZ9" i="1"/>
  <c r="DJ8" i="1"/>
  <c r="DL8" i="1" s="1"/>
  <c r="DP8" i="1" s="1"/>
  <c r="G23" i="1"/>
  <c r="F33" i="11"/>
  <c r="H33" i="11" s="1"/>
  <c r="CL8" i="1"/>
  <c r="DB15" i="10"/>
  <c r="DD15" i="10" s="1"/>
  <c r="EG15" i="10"/>
  <c r="EH15" i="10" s="1"/>
  <c r="DN15" i="10" s="1"/>
  <c r="DO15" i="10" s="1"/>
  <c r="DX15" i="10"/>
  <c r="BE15" i="10" s="1"/>
  <c r="BG16" i="10"/>
  <c r="O24" i="10" s="1"/>
  <c r="BD16" i="10"/>
  <c r="O23" i="10" s="1"/>
  <c r="CI15" i="10"/>
  <c r="CJ15" i="10" s="1"/>
  <c r="CK15" i="10" s="1"/>
  <c r="I33" i="7"/>
  <c r="ET36" i="1"/>
  <c r="EO37" i="1"/>
  <c r="EN59" i="1"/>
  <c r="EN60" i="1" s="1"/>
  <c r="EL9" i="1" s="1"/>
  <c r="BW8" i="1"/>
  <c r="BF8" i="1"/>
  <c r="FH34" i="1"/>
  <c r="EZ35" i="1"/>
  <c r="CV8" i="1"/>
  <c r="CR17" i="13" l="1"/>
  <c r="CS17" i="13" s="1"/>
  <c r="EI17" i="13"/>
  <c r="EV46" i="13" s="1"/>
  <c r="DI17" i="13"/>
  <c r="DM17" i="12"/>
  <c r="BW17" i="12"/>
  <c r="BE17" i="12"/>
  <c r="EA19" i="12"/>
  <c r="FE46" i="12"/>
  <c r="FF46" i="12" s="1"/>
  <c r="FG46" i="12" s="1"/>
  <c r="FH46" i="12" s="1"/>
  <c r="FI46" i="12" s="1"/>
  <c r="FJ46" i="12" s="1"/>
  <c r="FD58" i="12"/>
  <c r="EM22" i="12" s="1"/>
  <c r="DT17" i="12"/>
  <c r="DU17" i="12" s="1"/>
  <c r="EB9" i="1"/>
  <c r="DR8" i="1"/>
  <c r="CL15" i="10"/>
  <c r="DE15" i="10"/>
  <c r="DJ15" i="10" s="1"/>
  <c r="CS15" i="10"/>
  <c r="CT15" i="10" s="1"/>
  <c r="FA35" i="1"/>
  <c r="EU36" i="1"/>
  <c r="EP37" i="1"/>
  <c r="DK8" i="1"/>
  <c r="DK17" i="13" l="1"/>
  <c r="DO17" i="13" s="1"/>
  <c r="EW46" i="13"/>
  <c r="EX46" i="13" s="1"/>
  <c r="EY46" i="13" s="1"/>
  <c r="EZ46" i="13" s="1"/>
  <c r="FA46" i="13" s="1"/>
  <c r="EV59" i="13"/>
  <c r="EV60" i="13" s="1"/>
  <c r="EK18" i="13" s="1"/>
  <c r="CT17" i="13"/>
  <c r="DV17" i="12"/>
  <c r="BB17" i="12" s="1"/>
  <c r="DH18" i="12"/>
  <c r="ED19" i="12"/>
  <c r="DS8" i="1"/>
  <c r="DF9" i="1" s="1"/>
  <c r="G34" i="11"/>
  <c r="EJ15" i="10"/>
  <c r="EV44" i="10" s="1"/>
  <c r="EW44" i="10" s="1"/>
  <c r="EX44" i="10" s="1"/>
  <c r="EY44" i="10" s="1"/>
  <c r="EZ44" i="10" s="1"/>
  <c r="FA44" i="10" s="1"/>
  <c r="DL15" i="10"/>
  <c r="DP15" i="10" s="1"/>
  <c r="EV36" i="1"/>
  <c r="EQ37" i="1"/>
  <c r="FB35" i="1"/>
  <c r="CU15" i="10"/>
  <c r="BV17" i="13" l="1"/>
  <c r="BE17" i="13"/>
  <c r="DX19" i="13"/>
  <c r="CU17" i="13"/>
  <c r="FB46" i="13"/>
  <c r="FC46" i="13" s="1"/>
  <c r="FD46" i="13" s="1"/>
  <c r="FE46" i="13" s="1"/>
  <c r="FF46" i="13" s="1"/>
  <c r="FG46" i="13" s="1"/>
  <c r="FA58" i="13"/>
  <c r="EJ22" i="13" s="1"/>
  <c r="DJ17" i="13"/>
  <c r="DQ17" i="13"/>
  <c r="DR17" i="13" s="1"/>
  <c r="BF19" i="12"/>
  <c r="Q25" i="12" s="1"/>
  <c r="BC19" i="12"/>
  <c r="Q24" i="12" s="1"/>
  <c r="DI18" i="12"/>
  <c r="DJ18" i="12" s="1"/>
  <c r="CE18" i="12"/>
  <c r="DC18" i="12"/>
  <c r="DD18" i="12" s="1"/>
  <c r="DF18" i="12" s="1"/>
  <c r="DX18" i="12"/>
  <c r="DY18" i="12" s="1"/>
  <c r="BA18" i="12"/>
  <c r="P23" i="12" s="1"/>
  <c r="DT8" i="1"/>
  <c r="BC8" i="1" s="1"/>
  <c r="DG9" i="1"/>
  <c r="DH9" i="1" s="1"/>
  <c r="E34" i="11"/>
  <c r="CV15" i="10"/>
  <c r="EV58" i="10"/>
  <c r="EV59" i="10" s="1"/>
  <c r="EL16" i="10" s="1"/>
  <c r="DR15" i="10"/>
  <c r="DS15" i="10" s="1"/>
  <c r="DK15" i="10"/>
  <c r="FB44" i="10"/>
  <c r="FC44" i="10" s="1"/>
  <c r="FD44" i="10" s="1"/>
  <c r="FE44" i="10" s="1"/>
  <c r="FF44" i="10" s="1"/>
  <c r="FG44" i="10" s="1"/>
  <c r="FH44" i="10" s="1"/>
  <c r="FA57" i="10"/>
  <c r="EK20" i="10" s="1"/>
  <c r="BW15" i="10"/>
  <c r="BF15" i="10"/>
  <c r="DY17" i="10"/>
  <c r="ER37" i="1"/>
  <c r="CC9" i="1"/>
  <c r="DA9" i="1"/>
  <c r="DB9" i="1" s="1"/>
  <c r="DD9" i="1" s="1"/>
  <c r="C34" i="11" s="1"/>
  <c r="DV9" i="1"/>
  <c r="DW9" i="1" s="1"/>
  <c r="EW36" i="1"/>
  <c r="FC35" i="1"/>
  <c r="DS17" i="13" l="1"/>
  <c r="BB17" i="13" s="1"/>
  <c r="DE18" i="13"/>
  <c r="EA19" i="13"/>
  <c r="DK18" i="12"/>
  <c r="DZ18" i="12"/>
  <c r="BD18" i="12" s="1"/>
  <c r="EI18" i="12"/>
  <c r="EJ18" i="12" s="1"/>
  <c r="DP18" i="12" s="1"/>
  <c r="DQ18" i="12" s="1"/>
  <c r="CK18" i="12"/>
  <c r="CL18" i="12" s="1"/>
  <c r="CM18" i="12" s="1"/>
  <c r="CN18" i="12" s="1"/>
  <c r="DF16" i="10"/>
  <c r="DT15" i="10"/>
  <c r="BC15" i="10" s="1"/>
  <c r="EB17" i="10"/>
  <c r="DI9" i="1"/>
  <c r="EJ9" i="1" s="1"/>
  <c r="EO38" i="1" s="1"/>
  <c r="EP38" i="1" s="1"/>
  <c r="FD35" i="1"/>
  <c r="CI9" i="1"/>
  <c r="EG9" i="1"/>
  <c r="EH9" i="1" s="1"/>
  <c r="DN9" i="1" s="1"/>
  <c r="DX9" i="1"/>
  <c r="DZ10" i="1" s="1"/>
  <c r="EX36" i="1"/>
  <c r="ES37" i="1"/>
  <c r="CB18" i="13" l="1"/>
  <c r="DF18" i="13"/>
  <c r="CZ18" i="13"/>
  <c r="DA18" i="13" s="1"/>
  <c r="DC18" i="13" s="1"/>
  <c r="DU18" i="13"/>
  <c r="DV18" i="13" s="1"/>
  <c r="BA18" i="13"/>
  <c r="P23" i="13" s="1"/>
  <c r="BF19" i="13"/>
  <c r="Q25" i="13" s="1"/>
  <c r="BC19" i="13"/>
  <c r="Q24" i="13" s="1"/>
  <c r="CU18" i="12"/>
  <c r="CV18" i="12" s="1"/>
  <c r="EL18" i="12"/>
  <c r="EZ47" i="12" s="1"/>
  <c r="DL18" i="12"/>
  <c r="EB10" i="1"/>
  <c r="BD17" i="10"/>
  <c r="P23" i="10" s="1"/>
  <c r="BG17" i="10"/>
  <c r="P24" i="10" s="1"/>
  <c r="DV16" i="10"/>
  <c r="DW16" i="10" s="1"/>
  <c r="DA16" i="10"/>
  <c r="DB16" i="10" s="1"/>
  <c r="DD16" i="10" s="1"/>
  <c r="CC16" i="10"/>
  <c r="DG16" i="10"/>
  <c r="DH16" i="10" s="1"/>
  <c r="BB16" i="10"/>
  <c r="O22" i="10" s="1"/>
  <c r="CS9" i="1"/>
  <c r="CT9" i="1" s="1"/>
  <c r="CU9" i="1" s="1"/>
  <c r="DY11" i="1" s="1"/>
  <c r="CJ9" i="1"/>
  <c r="CK9" i="1" s="1"/>
  <c r="EO59" i="1"/>
  <c r="EO60" i="1" s="1"/>
  <c r="EL10" i="1" s="1"/>
  <c r="BE9" i="1"/>
  <c r="DJ9" i="1"/>
  <c r="DL9" i="1" s="1"/>
  <c r="BD9" i="1"/>
  <c r="H24" i="1" s="1"/>
  <c r="BG9" i="1"/>
  <c r="H25" i="1" s="1"/>
  <c r="BB9" i="1"/>
  <c r="ET37" i="1"/>
  <c r="ES58" i="1"/>
  <c r="EK13" i="1" s="1"/>
  <c r="EY36" i="1"/>
  <c r="DO9" i="1"/>
  <c r="EQ38" i="1"/>
  <c r="FE35" i="1"/>
  <c r="DG18" i="13" l="1"/>
  <c r="DH18" i="13" s="1"/>
  <c r="DW18" i="13"/>
  <c r="BD18" i="13" s="1"/>
  <c r="EF18" i="13"/>
  <c r="EG18" i="13" s="1"/>
  <c r="DM18" i="13" s="1"/>
  <c r="DN18" i="13" s="1"/>
  <c r="CH18" i="13"/>
  <c r="CI18" i="13" s="1"/>
  <c r="CJ18" i="13" s="1"/>
  <c r="CK18" i="13" s="1"/>
  <c r="DN18" i="12"/>
  <c r="DR18" i="12" s="1"/>
  <c r="FA47" i="12"/>
  <c r="FB47" i="12" s="1"/>
  <c r="FC47" i="12" s="1"/>
  <c r="FD47" i="12" s="1"/>
  <c r="FE47" i="12" s="1"/>
  <c r="EZ59" i="12"/>
  <c r="EZ60" i="12" s="1"/>
  <c r="EN19" i="12" s="1"/>
  <c r="CW18" i="12"/>
  <c r="CX18" i="12" s="1"/>
  <c r="H23" i="1"/>
  <c r="F34" i="11"/>
  <c r="H34" i="11" s="1"/>
  <c r="CL9" i="1"/>
  <c r="DE16" i="10"/>
  <c r="EJ16" i="10" s="1"/>
  <c r="EW45" i="10" s="1"/>
  <c r="EX45" i="10" s="1"/>
  <c r="EY45" i="10" s="1"/>
  <c r="EZ45" i="10" s="1"/>
  <c r="FA45" i="10" s="1"/>
  <c r="FB45" i="10" s="1"/>
  <c r="EG16" i="10"/>
  <c r="EH16" i="10" s="1"/>
  <c r="DN16" i="10" s="1"/>
  <c r="DO16" i="10" s="1"/>
  <c r="DX16" i="10"/>
  <c r="BE16" i="10" s="1"/>
  <c r="CI16" i="10"/>
  <c r="CJ16" i="10" s="1"/>
  <c r="CK16" i="10" s="1"/>
  <c r="I34" i="7"/>
  <c r="DP9" i="1"/>
  <c r="EZ36" i="1"/>
  <c r="FF35" i="1"/>
  <c r="EU37" i="1"/>
  <c r="BW9" i="1"/>
  <c r="BF9" i="1"/>
  <c r="DK9" i="1"/>
  <c r="ER38" i="1"/>
  <c r="CV9" i="1"/>
  <c r="EI18" i="13" l="1"/>
  <c r="EW47" i="13" s="1"/>
  <c r="DI18" i="13"/>
  <c r="DK18" i="13" s="1"/>
  <c r="DO18" i="13" s="1"/>
  <c r="CR18" i="13"/>
  <c r="CS18" i="13" s="1"/>
  <c r="DM18" i="12"/>
  <c r="BW18" i="12"/>
  <c r="BE18" i="12"/>
  <c r="EA20" i="12"/>
  <c r="FF47" i="12"/>
  <c r="FG47" i="12" s="1"/>
  <c r="FH47" i="12" s="1"/>
  <c r="FI47" i="12" s="1"/>
  <c r="FJ47" i="12" s="1"/>
  <c r="FE58" i="12"/>
  <c r="EM23" i="12" s="1"/>
  <c r="DT18" i="12"/>
  <c r="DU18" i="12" s="1"/>
  <c r="DR9" i="1"/>
  <c r="CL16" i="10"/>
  <c r="EW58" i="10"/>
  <c r="EW59" i="10" s="1"/>
  <c r="EL17" i="10" s="1"/>
  <c r="DJ16" i="10"/>
  <c r="DL16" i="10" s="1"/>
  <c r="DP16" i="10" s="1"/>
  <c r="CS16" i="10"/>
  <c r="CT16" i="10" s="1"/>
  <c r="FC45" i="10"/>
  <c r="FD45" i="10" s="1"/>
  <c r="FE45" i="10" s="1"/>
  <c r="FF45" i="10" s="1"/>
  <c r="FG45" i="10" s="1"/>
  <c r="FH45" i="10" s="1"/>
  <c r="FB57" i="10"/>
  <c r="EK21" i="10" s="1"/>
  <c r="FG35" i="1"/>
  <c r="EV37" i="1"/>
  <c r="ES38" i="1"/>
  <c r="FA36" i="1"/>
  <c r="EX47" i="13" l="1"/>
  <c r="EY47" i="13" s="1"/>
  <c r="EZ47" i="13" s="1"/>
  <c r="FA47" i="13" s="1"/>
  <c r="FB47" i="13" s="1"/>
  <c r="EW59" i="13"/>
  <c r="EW60" i="13" s="1"/>
  <c r="EK19" i="13" s="1"/>
  <c r="DQ18" i="13"/>
  <c r="DR18" i="13" s="1"/>
  <c r="DJ18" i="13"/>
  <c r="CT18" i="13"/>
  <c r="DH19" i="12"/>
  <c r="DV18" i="12"/>
  <c r="BB18" i="12" s="1"/>
  <c r="ED20" i="12"/>
  <c r="DS9" i="1"/>
  <c r="DF10" i="1" s="1"/>
  <c r="E35" i="11" s="1"/>
  <c r="G35" i="11"/>
  <c r="DR16" i="10"/>
  <c r="DS16" i="10" s="1"/>
  <c r="DK16" i="10"/>
  <c r="EW37" i="1"/>
  <c r="FH35" i="1"/>
  <c r="ET38" i="1"/>
  <c r="FB36" i="1"/>
  <c r="CU16" i="10"/>
  <c r="FB58" i="13" l="1"/>
  <c r="EJ23" i="13" s="1"/>
  <c r="FC47" i="13"/>
  <c r="FD47" i="13" s="1"/>
  <c r="FE47" i="13" s="1"/>
  <c r="FF47" i="13" s="1"/>
  <c r="FG47" i="13" s="1"/>
  <c r="BV18" i="13"/>
  <c r="BE18" i="13"/>
  <c r="DX20" i="13"/>
  <c r="CU18" i="13"/>
  <c r="DS18" i="13"/>
  <c r="BB18" i="13" s="1"/>
  <c r="DE19" i="13"/>
  <c r="BF20" i="12"/>
  <c r="R25" i="12" s="1"/>
  <c r="BC20" i="12"/>
  <c r="R24" i="12" s="1"/>
  <c r="DC19" i="12"/>
  <c r="DD19" i="12" s="1"/>
  <c r="DF19" i="12" s="1"/>
  <c r="CE19" i="12"/>
  <c r="DX19" i="12"/>
  <c r="DY19" i="12" s="1"/>
  <c r="DI19" i="12"/>
  <c r="DJ19" i="12" s="1"/>
  <c r="BA19" i="12"/>
  <c r="Q23" i="12" s="1"/>
  <c r="DT9" i="1"/>
  <c r="BC9" i="1" s="1"/>
  <c r="DV10" i="1"/>
  <c r="DW10" i="1" s="1"/>
  <c r="DG10" i="1"/>
  <c r="DH10" i="1" s="1"/>
  <c r="CV16" i="10"/>
  <c r="DF17" i="10"/>
  <c r="DT16" i="10"/>
  <c r="BC16" i="10" s="1"/>
  <c r="BW16" i="10"/>
  <c r="BF16" i="10"/>
  <c r="DY18" i="10"/>
  <c r="DA10" i="1"/>
  <c r="DB10" i="1" s="1"/>
  <c r="DD10" i="1" s="1"/>
  <c r="C35" i="11" s="1"/>
  <c r="CC10" i="1"/>
  <c r="CI10" i="1" s="1"/>
  <c r="FC36" i="1"/>
  <c r="EU38" i="1"/>
  <c r="ET58" i="1"/>
  <c r="EK14" i="1" s="1"/>
  <c r="EX37" i="1"/>
  <c r="DF19" i="13" l="1"/>
  <c r="DG19" i="13" s="1"/>
  <c r="DU19" i="13"/>
  <c r="DV19" i="13" s="1"/>
  <c r="CZ19" i="13"/>
  <c r="DA19" i="13" s="1"/>
  <c r="DC19" i="13" s="1"/>
  <c r="CB19" i="13"/>
  <c r="BA19" i="13"/>
  <c r="Q23" i="13" s="1"/>
  <c r="EA20" i="13"/>
  <c r="DK19" i="12"/>
  <c r="EI19" i="12"/>
  <c r="EJ19" i="12" s="1"/>
  <c r="DP19" i="12" s="1"/>
  <c r="DQ19" i="12" s="1"/>
  <c r="DZ19" i="12"/>
  <c r="BD19" i="12" s="1"/>
  <c r="CK19" i="12"/>
  <c r="CL19" i="12" s="1"/>
  <c r="CM19" i="12" s="1"/>
  <c r="CN19" i="12" s="1"/>
  <c r="DX10" i="1"/>
  <c r="EG10" i="1"/>
  <c r="EH10" i="1" s="1"/>
  <c r="DN10" i="1" s="1"/>
  <c r="DO10" i="1" s="1"/>
  <c r="EB18" i="10"/>
  <c r="DV17" i="10"/>
  <c r="DW17" i="10" s="1"/>
  <c r="DA17" i="10"/>
  <c r="DB17" i="10" s="1"/>
  <c r="DD17" i="10" s="1"/>
  <c r="DG17" i="10"/>
  <c r="DH17" i="10" s="1"/>
  <c r="CC17" i="10"/>
  <c r="BB17" i="10"/>
  <c r="P22" i="10" s="1"/>
  <c r="DI10" i="1"/>
  <c r="EJ10" i="1" s="1"/>
  <c r="EP39" i="1" s="1"/>
  <c r="CS10" i="1"/>
  <c r="CT10" i="1" s="1"/>
  <c r="CU10" i="1" s="1"/>
  <c r="DY12" i="1" s="1"/>
  <c r="CJ10" i="1"/>
  <c r="CK10" i="1" s="1"/>
  <c r="BG10" i="1"/>
  <c r="I25" i="1" s="1"/>
  <c r="BD10" i="1"/>
  <c r="I24" i="1" s="1"/>
  <c r="BB10" i="1"/>
  <c r="EV38" i="1"/>
  <c r="FD36" i="1"/>
  <c r="EY37" i="1"/>
  <c r="BE10" i="1" l="1"/>
  <c r="DZ11" i="1"/>
  <c r="BF20" i="13"/>
  <c r="R25" i="13" s="1"/>
  <c r="BC20" i="13"/>
  <c r="R24" i="13" s="1"/>
  <c r="CH19" i="13"/>
  <c r="CI19" i="13" s="1"/>
  <c r="CJ19" i="13" s="1"/>
  <c r="CK19" i="13" s="1"/>
  <c r="EF19" i="13"/>
  <c r="EG19" i="13" s="1"/>
  <c r="DM19" i="13" s="1"/>
  <c r="DN19" i="13" s="1"/>
  <c r="DW19" i="13"/>
  <c r="BD19" i="13" s="1"/>
  <c r="DH19" i="13"/>
  <c r="CU19" i="12"/>
  <c r="CV19" i="12" s="1"/>
  <c r="EL19" i="12"/>
  <c r="FA48" i="12" s="1"/>
  <c r="DL19" i="12"/>
  <c r="I23" i="1"/>
  <c r="F35" i="11"/>
  <c r="H35" i="11" s="1"/>
  <c r="CL10" i="1"/>
  <c r="DE17" i="10"/>
  <c r="EJ17" i="10" s="1"/>
  <c r="EX46" i="10" s="1"/>
  <c r="EY46" i="10" s="1"/>
  <c r="EZ46" i="10" s="1"/>
  <c r="FA46" i="10" s="1"/>
  <c r="FB46" i="10" s="1"/>
  <c r="FC46" i="10" s="1"/>
  <c r="CI17" i="10"/>
  <c r="CJ17" i="10" s="1"/>
  <c r="CK17" i="10" s="1"/>
  <c r="BG18" i="10"/>
  <c r="Q24" i="10" s="1"/>
  <c r="BD18" i="10"/>
  <c r="Q23" i="10" s="1"/>
  <c r="EG17" i="10"/>
  <c r="EH17" i="10" s="1"/>
  <c r="DN17" i="10" s="1"/>
  <c r="DO17" i="10" s="1"/>
  <c r="DX17" i="10"/>
  <c r="BE17" i="10" s="1"/>
  <c r="I35" i="7"/>
  <c r="DJ10" i="1"/>
  <c r="DL10" i="1" s="1"/>
  <c r="DP10" i="1" s="1"/>
  <c r="EZ37" i="1"/>
  <c r="BW10" i="1"/>
  <c r="BF10" i="1"/>
  <c r="EW38" i="1"/>
  <c r="EQ39" i="1"/>
  <c r="ER39" i="1" s="1"/>
  <c r="ES39" i="1" s="1"/>
  <c r="ET39" i="1" s="1"/>
  <c r="EU39" i="1" s="1"/>
  <c r="EP59" i="1"/>
  <c r="EP60" i="1" s="1"/>
  <c r="EL11" i="1" s="1"/>
  <c r="CV10" i="1"/>
  <c r="FE36" i="1"/>
  <c r="DZ12" i="1" l="1"/>
  <c r="EB11" i="1"/>
  <c r="CR19" i="13"/>
  <c r="CS19" i="13" s="1"/>
  <c r="EI19" i="13"/>
  <c r="EX48" i="13" s="1"/>
  <c r="DI19" i="13"/>
  <c r="DN19" i="12"/>
  <c r="DR19" i="12" s="1"/>
  <c r="FB48" i="12"/>
  <c r="FC48" i="12" s="1"/>
  <c r="FD48" i="12" s="1"/>
  <c r="FE48" i="12" s="1"/>
  <c r="FF48" i="12" s="1"/>
  <c r="FA59" i="12"/>
  <c r="FA60" i="12" s="1"/>
  <c r="EN20" i="12" s="1"/>
  <c r="CW19" i="12"/>
  <c r="CX19" i="12" s="1"/>
  <c r="DR10" i="1"/>
  <c r="CL17" i="10"/>
  <c r="EX58" i="10"/>
  <c r="EX59" i="10" s="1"/>
  <c r="EL18" i="10" s="1"/>
  <c r="DJ17" i="10"/>
  <c r="DL17" i="10" s="1"/>
  <c r="DP17" i="10" s="1"/>
  <c r="FD46" i="10"/>
  <c r="FE46" i="10" s="1"/>
  <c r="FF46" i="10" s="1"/>
  <c r="FG46" i="10" s="1"/>
  <c r="FH46" i="10" s="1"/>
  <c r="FC57" i="10"/>
  <c r="EK22" i="10" s="1"/>
  <c r="CS17" i="10"/>
  <c r="CT17" i="10" s="1"/>
  <c r="EV39" i="1"/>
  <c r="EW39" i="1" s="1"/>
  <c r="EX39" i="1" s="1"/>
  <c r="EY39" i="1" s="1"/>
  <c r="EZ39" i="1" s="1"/>
  <c r="FA39" i="1" s="1"/>
  <c r="FB39" i="1" s="1"/>
  <c r="FC39" i="1" s="1"/>
  <c r="FD39" i="1" s="1"/>
  <c r="FE39" i="1" s="1"/>
  <c r="FF39" i="1" s="1"/>
  <c r="FG39" i="1" s="1"/>
  <c r="FH39" i="1" s="1"/>
  <c r="EU58" i="1"/>
  <c r="EK15" i="1" s="1"/>
  <c r="EX38" i="1"/>
  <c r="DK10" i="1"/>
  <c r="FF36" i="1"/>
  <c r="FA37" i="1"/>
  <c r="DZ13" i="1" l="1"/>
  <c r="DZ14" i="1" s="1"/>
  <c r="DZ15" i="1" s="1"/>
  <c r="DZ16" i="1" s="1"/>
  <c r="DZ17" i="1" s="1"/>
  <c r="DZ18" i="1" s="1"/>
  <c r="DZ19" i="1" s="1"/>
  <c r="DZ20" i="1" s="1"/>
  <c r="DZ21" i="1" s="1"/>
  <c r="DZ22" i="1" s="1"/>
  <c r="DZ23" i="1" s="1"/>
  <c r="DZ24" i="1" s="1"/>
  <c r="EB12" i="1"/>
  <c r="EY48" i="13"/>
  <c r="EZ48" i="13" s="1"/>
  <c r="FA48" i="13" s="1"/>
  <c r="FB48" i="13" s="1"/>
  <c r="FC48" i="13" s="1"/>
  <c r="EX59" i="13"/>
  <c r="EX60" i="13" s="1"/>
  <c r="EK20" i="13" s="1"/>
  <c r="DK19" i="13"/>
  <c r="DO19" i="13" s="1"/>
  <c r="CT19" i="13"/>
  <c r="CU19" i="13" s="1"/>
  <c r="DM19" i="12"/>
  <c r="BW19" i="12"/>
  <c r="BE19" i="12"/>
  <c r="EA21" i="12"/>
  <c r="FG48" i="12"/>
  <c r="FH48" i="12" s="1"/>
  <c r="FI48" i="12" s="1"/>
  <c r="FJ48" i="12" s="1"/>
  <c r="FF58" i="12"/>
  <c r="EM24" i="12" s="1"/>
  <c r="DT19" i="12"/>
  <c r="DU19" i="12" s="1"/>
  <c r="DS10" i="1"/>
  <c r="DT10" i="1" s="1"/>
  <c r="BC10" i="1" s="1"/>
  <c r="G36" i="11"/>
  <c r="DR17" i="10"/>
  <c r="DS17" i="10" s="1"/>
  <c r="DK17" i="10"/>
  <c r="FB37" i="1"/>
  <c r="FG36" i="1"/>
  <c r="EY38" i="1"/>
  <c r="CU17" i="10"/>
  <c r="DJ19" i="13" l="1"/>
  <c r="BV19" i="13"/>
  <c r="BE19" i="13"/>
  <c r="DX21" i="13"/>
  <c r="DQ19" i="13"/>
  <c r="DR19" i="13" s="1"/>
  <c r="FD48" i="13"/>
  <c r="FE48" i="13" s="1"/>
  <c r="FF48" i="13" s="1"/>
  <c r="FG48" i="13" s="1"/>
  <c r="FC58" i="13"/>
  <c r="EJ24" i="13" s="1"/>
  <c r="DH20" i="12"/>
  <c r="DV19" i="12"/>
  <c r="BB19" i="12" s="1"/>
  <c r="ED21" i="12"/>
  <c r="DF11" i="1"/>
  <c r="DG11" i="1" s="1"/>
  <c r="DH11" i="1" s="1"/>
  <c r="BW17" i="10"/>
  <c r="BF17" i="10"/>
  <c r="DY19" i="10"/>
  <c r="CV17" i="10"/>
  <c r="DF18" i="10"/>
  <c r="DT17" i="10"/>
  <c r="BC17" i="10" s="1"/>
  <c r="EZ38" i="1"/>
  <c r="FH36" i="1"/>
  <c r="FC37" i="1"/>
  <c r="DS19" i="13" l="1"/>
  <c r="BB19" i="13" s="1"/>
  <c r="DE20" i="13"/>
  <c r="EA21" i="13"/>
  <c r="BC21" i="12"/>
  <c r="S24" i="12" s="1"/>
  <c r="BF21" i="12"/>
  <c r="S25" i="12" s="1"/>
  <c r="CE20" i="12"/>
  <c r="DX20" i="12"/>
  <c r="DY20" i="12" s="1"/>
  <c r="DC20" i="12"/>
  <c r="DD20" i="12" s="1"/>
  <c r="DF20" i="12" s="1"/>
  <c r="DI20" i="12"/>
  <c r="DJ20" i="12" s="1"/>
  <c r="BA20" i="12"/>
  <c r="R23" i="12" s="1"/>
  <c r="CC11" i="1"/>
  <c r="CI11" i="1" s="1"/>
  <c r="CJ11" i="1" s="1"/>
  <c r="CK11" i="1" s="1"/>
  <c r="DA11" i="1"/>
  <c r="DB11" i="1" s="1"/>
  <c r="DD11" i="1" s="1"/>
  <c r="C36" i="11" s="1"/>
  <c r="E36" i="11"/>
  <c r="DV11" i="1"/>
  <c r="DW11" i="1" s="1"/>
  <c r="DX11" i="1" s="1"/>
  <c r="EB19" i="10"/>
  <c r="CC18" i="10"/>
  <c r="DV18" i="10"/>
  <c r="DW18" i="10" s="1"/>
  <c r="DG18" i="10"/>
  <c r="DH18" i="10" s="1"/>
  <c r="DA18" i="10"/>
  <c r="DB18" i="10" s="1"/>
  <c r="DD18" i="10" s="1"/>
  <c r="BB18" i="10"/>
  <c r="Q22" i="10" s="1"/>
  <c r="FA38" i="1"/>
  <c r="FD37" i="1"/>
  <c r="BC21" i="13" l="1"/>
  <c r="S24" i="13" s="1"/>
  <c r="BF21" i="13"/>
  <c r="S25" i="13" s="1"/>
  <c r="CZ20" i="13"/>
  <c r="DA20" i="13" s="1"/>
  <c r="DC20" i="13" s="1"/>
  <c r="DF20" i="13"/>
  <c r="CB20" i="13"/>
  <c r="DU20" i="13"/>
  <c r="DV20" i="13" s="1"/>
  <c r="BA20" i="13"/>
  <c r="R23" i="13" s="1"/>
  <c r="DK20" i="12"/>
  <c r="DZ20" i="12"/>
  <c r="BD20" i="12" s="1"/>
  <c r="EI20" i="12"/>
  <c r="EJ20" i="12" s="1"/>
  <c r="DP20" i="12" s="1"/>
  <c r="DQ20" i="12" s="1"/>
  <c r="CK20" i="12"/>
  <c r="CL20" i="12" s="1"/>
  <c r="CM20" i="12" s="1"/>
  <c r="CN20" i="12" s="1"/>
  <c r="DI11" i="1"/>
  <c r="DJ11" i="1" s="1"/>
  <c r="DL11" i="1" s="1"/>
  <c r="EG11" i="1"/>
  <c r="EH11" i="1" s="1"/>
  <c r="DN11" i="1" s="1"/>
  <c r="DO11" i="1" s="1"/>
  <c r="DE18" i="10"/>
  <c r="CL11" i="1"/>
  <c r="DX18" i="10"/>
  <c r="BE18" i="10" s="1"/>
  <c r="EG18" i="10"/>
  <c r="EH18" i="10" s="1"/>
  <c r="DN18" i="10" s="1"/>
  <c r="DO18" i="10" s="1"/>
  <c r="CI18" i="10"/>
  <c r="CJ18" i="10" s="1"/>
  <c r="CK18" i="10" s="1"/>
  <c r="BD19" i="10"/>
  <c r="R23" i="10" s="1"/>
  <c r="BG19" i="10"/>
  <c r="R24" i="10" s="1"/>
  <c r="BE11" i="1"/>
  <c r="BG11" i="1"/>
  <c r="J25" i="1" s="1"/>
  <c r="BD11" i="1"/>
  <c r="J24" i="1" s="1"/>
  <c r="BB11" i="1"/>
  <c r="FE37" i="1"/>
  <c r="FB38" i="1"/>
  <c r="CS11" i="1"/>
  <c r="CT11" i="1" s="1"/>
  <c r="CU11" i="1" s="1"/>
  <c r="DY13" i="1" s="1"/>
  <c r="DG20" i="13" l="1"/>
  <c r="DH20" i="13" s="1"/>
  <c r="EF20" i="13"/>
  <c r="EG20" i="13" s="1"/>
  <c r="DM20" i="13" s="1"/>
  <c r="DN20" i="13" s="1"/>
  <c r="DW20" i="13"/>
  <c r="BD20" i="13" s="1"/>
  <c r="CH20" i="13"/>
  <c r="CI20" i="13" s="1"/>
  <c r="CJ20" i="13" s="1"/>
  <c r="CK20" i="13" s="1"/>
  <c r="CU20" i="12"/>
  <c r="CV20" i="12" s="1"/>
  <c r="EL20" i="12"/>
  <c r="FB49" i="12" s="1"/>
  <c r="DL20" i="12"/>
  <c r="EJ11" i="1"/>
  <c r="EQ40" i="1" s="1"/>
  <c r="ER40" i="1" s="1"/>
  <c r="ES40" i="1" s="1"/>
  <c r="ET40" i="1" s="1"/>
  <c r="EU40" i="1" s="1"/>
  <c r="EV40" i="1" s="1"/>
  <c r="DP11" i="1"/>
  <c r="DR11" i="1" s="1"/>
  <c r="EB13" i="1"/>
  <c r="J23" i="1"/>
  <c r="F36" i="11"/>
  <c r="H36" i="11" s="1"/>
  <c r="CL18" i="10"/>
  <c r="CS18" i="10"/>
  <c r="CT18" i="10" s="1"/>
  <c r="EJ18" i="10"/>
  <c r="EY47" i="10" s="1"/>
  <c r="DJ18" i="10"/>
  <c r="I36" i="7"/>
  <c r="BD12" i="1"/>
  <c r="K24" i="1" s="1"/>
  <c r="BG12" i="1"/>
  <c r="K25" i="1" s="1"/>
  <c r="FF37" i="1"/>
  <c r="DK11" i="1"/>
  <c r="FC38" i="1"/>
  <c r="EI20" i="13" l="1"/>
  <c r="EY49" i="13" s="1"/>
  <c r="DI20" i="13"/>
  <c r="DK20" i="13" s="1"/>
  <c r="DO20" i="13" s="1"/>
  <c r="CR20" i="13"/>
  <c r="CS20" i="13" s="1"/>
  <c r="DN20" i="12"/>
  <c r="DR20" i="12" s="1"/>
  <c r="FC49" i="12"/>
  <c r="FD49" i="12" s="1"/>
  <c r="FE49" i="12" s="1"/>
  <c r="FF49" i="12" s="1"/>
  <c r="FG49" i="12" s="1"/>
  <c r="FB59" i="12"/>
  <c r="FB60" i="12" s="1"/>
  <c r="EN21" i="12" s="1"/>
  <c r="CW20" i="12"/>
  <c r="EQ59" i="1"/>
  <c r="EQ60" i="1" s="1"/>
  <c r="EL12" i="1" s="1"/>
  <c r="DS11" i="1"/>
  <c r="DT11" i="1" s="1"/>
  <c r="BC11" i="1" s="1"/>
  <c r="G37" i="11"/>
  <c r="DL18" i="10"/>
  <c r="DP18" i="10" s="1"/>
  <c r="EZ47" i="10"/>
  <c r="FA47" i="10" s="1"/>
  <c r="FB47" i="10" s="1"/>
  <c r="FC47" i="10" s="1"/>
  <c r="FD47" i="10" s="1"/>
  <c r="EY58" i="10"/>
  <c r="EY59" i="10" s="1"/>
  <c r="EL19" i="10" s="1"/>
  <c r="EW40" i="1"/>
  <c r="EX40" i="1" s="1"/>
  <c r="EY40" i="1" s="1"/>
  <c r="EZ40" i="1" s="1"/>
  <c r="FA40" i="1" s="1"/>
  <c r="FB40" i="1" s="1"/>
  <c r="FC40" i="1" s="1"/>
  <c r="FD40" i="1" s="1"/>
  <c r="FE40" i="1" s="1"/>
  <c r="FF40" i="1" s="1"/>
  <c r="FG40" i="1" s="1"/>
  <c r="FH40" i="1" s="1"/>
  <c r="EV58" i="1"/>
  <c r="EK16" i="1" s="1"/>
  <c r="BW11" i="1"/>
  <c r="BF11" i="1"/>
  <c r="CV11" i="1"/>
  <c r="FG37" i="1"/>
  <c r="FD38" i="1"/>
  <c r="CU18" i="10"/>
  <c r="EZ49" i="13" l="1"/>
  <c r="FA49" i="13" s="1"/>
  <c r="FB49" i="13" s="1"/>
  <c r="FC49" i="13" s="1"/>
  <c r="FD49" i="13" s="1"/>
  <c r="EY59" i="13"/>
  <c r="EY60" i="13" s="1"/>
  <c r="EK21" i="13" s="1"/>
  <c r="DJ20" i="13"/>
  <c r="CT20" i="13"/>
  <c r="DQ20" i="13"/>
  <c r="DR20" i="13" s="1"/>
  <c r="BW20" i="12"/>
  <c r="BE20" i="12"/>
  <c r="EA22" i="12"/>
  <c r="FH49" i="12"/>
  <c r="FI49" i="12" s="1"/>
  <c r="FJ49" i="12" s="1"/>
  <c r="FG58" i="12"/>
  <c r="EM25" i="12" s="1"/>
  <c r="CX20" i="12"/>
  <c r="DT20" i="12"/>
  <c r="DU20" i="12" s="1"/>
  <c r="DM20" i="12"/>
  <c r="DF12" i="1"/>
  <c r="DG12" i="1" s="1"/>
  <c r="DH12" i="1" s="1"/>
  <c r="CV18" i="10"/>
  <c r="FE47" i="10"/>
  <c r="FF47" i="10" s="1"/>
  <c r="FG47" i="10" s="1"/>
  <c r="FH47" i="10" s="1"/>
  <c r="FD57" i="10"/>
  <c r="EK23" i="10" s="1"/>
  <c r="DR18" i="10"/>
  <c r="DS18" i="10" s="1"/>
  <c r="BW18" i="10"/>
  <c r="BF18" i="10"/>
  <c r="DY20" i="10"/>
  <c r="DK18" i="10"/>
  <c r="FE38" i="1"/>
  <c r="FH37" i="1"/>
  <c r="FE49" i="13" l="1"/>
  <c r="FF49" i="13" s="1"/>
  <c r="FG49" i="13" s="1"/>
  <c r="FD58" i="13"/>
  <c r="EJ25" i="13" s="1"/>
  <c r="DS20" i="13"/>
  <c r="BB20" i="13" s="1"/>
  <c r="DE21" i="13"/>
  <c r="BV20" i="13"/>
  <c r="BE20" i="13"/>
  <c r="DX22" i="13"/>
  <c r="CU20" i="13"/>
  <c r="DH21" i="12"/>
  <c r="DV20" i="12"/>
  <c r="BB20" i="12" s="1"/>
  <c r="ED22" i="12"/>
  <c r="BB12" i="1"/>
  <c r="K23" i="1" s="1"/>
  <c r="DA12" i="1"/>
  <c r="DB12" i="1" s="1"/>
  <c r="DD12" i="1" s="1"/>
  <c r="C37" i="11" s="1"/>
  <c r="DV12" i="1"/>
  <c r="DW12" i="1" s="1"/>
  <c r="EG12" i="1" s="1"/>
  <c r="EH12" i="1" s="1"/>
  <c r="DN12" i="1" s="1"/>
  <c r="DO12" i="1" s="1"/>
  <c r="CC12" i="1"/>
  <c r="CI12" i="1" s="1"/>
  <c r="CJ12" i="1" s="1"/>
  <c r="CK12" i="1" s="1"/>
  <c r="E37" i="11"/>
  <c r="DF19" i="10"/>
  <c r="DT18" i="10"/>
  <c r="BC18" i="10" s="1"/>
  <c r="EB20" i="10"/>
  <c r="FF38" i="1"/>
  <c r="BD13" i="1"/>
  <c r="L24" i="1" s="1"/>
  <c r="BG13" i="1"/>
  <c r="L25" i="1" s="1"/>
  <c r="EA22" i="13" l="1"/>
  <c r="CB21" i="13"/>
  <c r="DU21" i="13"/>
  <c r="DV21" i="13" s="1"/>
  <c r="DF21" i="13"/>
  <c r="DG21" i="13" s="1"/>
  <c r="CZ21" i="13"/>
  <c r="DA21" i="13" s="1"/>
  <c r="DC21" i="13" s="1"/>
  <c r="BA21" i="13"/>
  <c r="S23" i="13" s="1"/>
  <c r="BF22" i="12"/>
  <c r="T25" i="12" s="1"/>
  <c r="BC22" i="12"/>
  <c r="T24" i="12" s="1"/>
  <c r="CE21" i="12"/>
  <c r="DI21" i="12"/>
  <c r="DJ21" i="12" s="1"/>
  <c r="DC21" i="12"/>
  <c r="DD21" i="12" s="1"/>
  <c r="DF21" i="12" s="1"/>
  <c r="DX21" i="12"/>
  <c r="DY21" i="12" s="1"/>
  <c r="BA21" i="12"/>
  <c r="S23" i="12" s="1"/>
  <c r="DX12" i="1"/>
  <c r="BE12" i="1" s="1"/>
  <c r="F37" i="11"/>
  <c r="H37" i="11" s="1"/>
  <c r="DI12" i="1"/>
  <c r="EJ12" i="1" s="1"/>
  <c r="ER41" i="1" s="1"/>
  <c r="I37" i="7"/>
  <c r="CL12" i="1"/>
  <c r="BD20" i="10"/>
  <c r="S23" i="10" s="1"/>
  <c r="BG20" i="10"/>
  <c r="S24" i="10" s="1"/>
  <c r="CC19" i="10"/>
  <c r="DV19" i="10"/>
  <c r="DW19" i="10" s="1"/>
  <c r="DA19" i="10"/>
  <c r="DB19" i="10" s="1"/>
  <c r="DD19" i="10" s="1"/>
  <c r="DG19" i="10"/>
  <c r="DH19" i="10" s="1"/>
  <c r="BB19" i="10"/>
  <c r="R22" i="10" s="1"/>
  <c r="CS12" i="1"/>
  <c r="CT12" i="1" s="1"/>
  <c r="CU12" i="1" s="1"/>
  <c r="DY14" i="1" s="1"/>
  <c r="FG38" i="1"/>
  <c r="DH21" i="13" l="1"/>
  <c r="BF22" i="13"/>
  <c r="T25" i="13" s="1"/>
  <c r="BC22" i="13"/>
  <c r="T24" i="13" s="1"/>
  <c r="EF21" i="13"/>
  <c r="EG21" i="13" s="1"/>
  <c r="DM21" i="13" s="1"/>
  <c r="DN21" i="13" s="1"/>
  <c r="DW21" i="13"/>
  <c r="BD21" i="13" s="1"/>
  <c r="CH21" i="13"/>
  <c r="CI21" i="13" s="1"/>
  <c r="CJ21" i="13" s="1"/>
  <c r="CK21" i="13" s="1"/>
  <c r="DZ21" i="12"/>
  <c r="BD21" i="12" s="1"/>
  <c r="EI21" i="12"/>
  <c r="EJ21" i="12" s="1"/>
  <c r="DP21" i="12" s="1"/>
  <c r="DQ21" i="12" s="1"/>
  <c r="DK21" i="12"/>
  <c r="CK21" i="12"/>
  <c r="CL21" i="12" s="1"/>
  <c r="CM21" i="12" s="1"/>
  <c r="CN21" i="12" s="1"/>
  <c r="DJ12" i="1"/>
  <c r="DL12" i="1" s="1"/>
  <c r="DP12" i="1" s="1"/>
  <c r="EB14" i="1"/>
  <c r="DE19" i="10"/>
  <c r="EJ19" i="10" s="1"/>
  <c r="EZ48" i="10" s="1"/>
  <c r="EG19" i="10"/>
  <c r="EH19" i="10" s="1"/>
  <c r="DN19" i="10" s="1"/>
  <c r="DO19" i="10" s="1"/>
  <c r="DX19" i="10"/>
  <c r="BE19" i="10" s="1"/>
  <c r="CI19" i="10"/>
  <c r="CJ19" i="10" s="1"/>
  <c r="CK19" i="10" s="1"/>
  <c r="ES41" i="1"/>
  <c r="ET41" i="1" s="1"/>
  <c r="EU41" i="1" s="1"/>
  <c r="EV41" i="1" s="1"/>
  <c r="EW41" i="1" s="1"/>
  <c r="ER59" i="1"/>
  <c r="ER60" i="1" s="1"/>
  <c r="EL13" i="1" s="1"/>
  <c r="BW12" i="1"/>
  <c r="BF12" i="1"/>
  <c r="FH38" i="1"/>
  <c r="CV12" i="1"/>
  <c r="CR21" i="13" l="1"/>
  <c r="CS21" i="13" s="1"/>
  <c r="CT21" i="13" s="1"/>
  <c r="CU21" i="13" s="1"/>
  <c r="EI21" i="13"/>
  <c r="EZ50" i="13" s="1"/>
  <c r="DI21" i="13"/>
  <c r="EL21" i="12"/>
  <c r="FC50" i="12" s="1"/>
  <c r="DL21" i="12"/>
  <c r="CU21" i="12"/>
  <c r="CV21" i="12" s="1"/>
  <c r="DR12" i="1"/>
  <c r="CL19" i="10"/>
  <c r="DJ19" i="10"/>
  <c r="DL19" i="10" s="1"/>
  <c r="DP19" i="10" s="1"/>
  <c r="FA48" i="10"/>
  <c r="FB48" i="10" s="1"/>
  <c r="FC48" i="10" s="1"/>
  <c r="FD48" i="10" s="1"/>
  <c r="FE48" i="10" s="1"/>
  <c r="FF48" i="10" s="1"/>
  <c r="FG48" i="10" s="1"/>
  <c r="FH48" i="10" s="1"/>
  <c r="EZ58" i="10"/>
  <c r="EZ59" i="10" s="1"/>
  <c r="EL20" i="10" s="1"/>
  <c r="CS19" i="10"/>
  <c r="CT19" i="10" s="1"/>
  <c r="CU19" i="10" s="1"/>
  <c r="EX41" i="1"/>
  <c r="EY41" i="1" s="1"/>
  <c r="EZ41" i="1" s="1"/>
  <c r="FA41" i="1" s="1"/>
  <c r="FB41" i="1" s="1"/>
  <c r="FC41" i="1" s="1"/>
  <c r="FD41" i="1" s="1"/>
  <c r="FE41" i="1" s="1"/>
  <c r="FF41" i="1" s="1"/>
  <c r="FG41" i="1" s="1"/>
  <c r="FH41" i="1" s="1"/>
  <c r="EW58" i="1"/>
  <c r="EK17" i="1" s="1"/>
  <c r="DK12" i="1"/>
  <c r="DK21" i="13" l="1"/>
  <c r="DO21" i="13" s="1"/>
  <c r="FA50" i="13"/>
  <c r="FB50" i="13" s="1"/>
  <c r="FC50" i="13" s="1"/>
  <c r="FD50" i="13" s="1"/>
  <c r="FE50" i="13" s="1"/>
  <c r="EZ59" i="13"/>
  <c r="EZ60" i="13" s="1"/>
  <c r="EK22" i="13" s="1"/>
  <c r="BV21" i="13"/>
  <c r="BE21" i="13"/>
  <c r="DX23" i="13"/>
  <c r="CW21" i="12"/>
  <c r="DN21" i="12"/>
  <c r="DR21" i="12" s="1"/>
  <c r="FD50" i="12"/>
  <c r="FE50" i="12" s="1"/>
  <c r="FF50" i="12" s="1"/>
  <c r="FG50" i="12" s="1"/>
  <c r="FH50" i="12" s="1"/>
  <c r="FC59" i="12"/>
  <c r="FC60" i="12" s="1"/>
  <c r="EN22" i="12" s="1"/>
  <c r="DS12" i="1"/>
  <c r="DF13" i="1" s="1"/>
  <c r="G38" i="11"/>
  <c r="FE57" i="10"/>
  <c r="EK24" i="10" s="1"/>
  <c r="DR19" i="10"/>
  <c r="DS19" i="10" s="1"/>
  <c r="BW19" i="10"/>
  <c r="BF19" i="10"/>
  <c r="DY21" i="10"/>
  <c r="DK19" i="10"/>
  <c r="CV19" i="10"/>
  <c r="BG14" i="1"/>
  <c r="M25" i="1" s="1"/>
  <c r="BD14" i="1"/>
  <c r="M24" i="1" s="1"/>
  <c r="EA23" i="13" l="1"/>
  <c r="FF50" i="13"/>
  <c r="FG50" i="13" s="1"/>
  <c r="FE58" i="13"/>
  <c r="EJ26" i="13" s="1"/>
  <c r="DJ21" i="13"/>
  <c r="DQ21" i="13"/>
  <c r="DR21" i="13" s="1"/>
  <c r="DT21" i="12"/>
  <c r="DU21" i="12" s="1"/>
  <c r="FI50" i="12"/>
  <c r="FJ50" i="12" s="1"/>
  <c r="FH58" i="12"/>
  <c r="EM26" i="12" s="1"/>
  <c r="DM21" i="12"/>
  <c r="BW21" i="12"/>
  <c r="BE21" i="12"/>
  <c r="EA23" i="12"/>
  <c r="CX21" i="12"/>
  <c r="DT12" i="1"/>
  <c r="BC12" i="1" s="1"/>
  <c r="DG13" i="1"/>
  <c r="DH13" i="1" s="1"/>
  <c r="E38" i="11"/>
  <c r="DT19" i="10"/>
  <c r="BC19" i="10" s="1"/>
  <c r="DF20" i="10"/>
  <c r="EB21" i="10"/>
  <c r="DV13" i="1"/>
  <c r="DW13" i="1" s="1"/>
  <c r="CC13" i="1"/>
  <c r="DA13" i="1"/>
  <c r="DB13" i="1" s="1"/>
  <c r="DD13" i="1" s="1"/>
  <c r="C38" i="11" s="1"/>
  <c r="BB13" i="1"/>
  <c r="DE22" i="13" l="1"/>
  <c r="DS21" i="13"/>
  <c r="BB21" i="13" s="1"/>
  <c r="BC23" i="13"/>
  <c r="U24" i="13" s="1"/>
  <c r="BF23" i="13"/>
  <c r="U25" i="13" s="1"/>
  <c r="DH22" i="12"/>
  <c r="DV21" i="12"/>
  <c r="BB21" i="12" s="1"/>
  <c r="ED23" i="12"/>
  <c r="L23" i="1"/>
  <c r="F38" i="11"/>
  <c r="H38" i="11" s="1"/>
  <c r="BD21" i="10"/>
  <c r="T23" i="10" s="1"/>
  <c r="BG21" i="10"/>
  <c r="T24" i="10" s="1"/>
  <c r="DG20" i="10"/>
  <c r="DH20" i="10" s="1"/>
  <c r="CC20" i="10"/>
  <c r="DV20" i="10"/>
  <c r="DW20" i="10" s="1"/>
  <c r="DA20" i="10"/>
  <c r="DB20" i="10" s="1"/>
  <c r="DD20" i="10" s="1"/>
  <c r="BB20" i="10"/>
  <c r="S22" i="10" s="1"/>
  <c r="I38" i="7"/>
  <c r="DI13" i="1"/>
  <c r="CI13" i="1"/>
  <c r="CJ13" i="1" s="1"/>
  <c r="CK13" i="1" s="1"/>
  <c r="DX13" i="1"/>
  <c r="BE13" i="1" s="1"/>
  <c r="EG13" i="1"/>
  <c r="EH13" i="1" s="1"/>
  <c r="DN13" i="1" s="1"/>
  <c r="DO13" i="1" s="1"/>
  <c r="DF22" i="13" l="1"/>
  <c r="DG22" i="13" s="1"/>
  <c r="DU22" i="13"/>
  <c r="DV22" i="13" s="1"/>
  <c r="CZ22" i="13"/>
  <c r="DA22" i="13" s="1"/>
  <c r="DC22" i="13" s="1"/>
  <c r="CB22" i="13"/>
  <c r="BA22" i="13"/>
  <c r="BF23" i="12"/>
  <c r="U25" i="12" s="1"/>
  <c r="BC23" i="12"/>
  <c r="U24" i="12" s="1"/>
  <c r="DX22" i="12"/>
  <c r="DY22" i="12" s="1"/>
  <c r="DI22" i="12"/>
  <c r="DJ22" i="12" s="1"/>
  <c r="DC22" i="12"/>
  <c r="DD22" i="12" s="1"/>
  <c r="DF22" i="12" s="1"/>
  <c r="CE22" i="12"/>
  <c r="BA22" i="12"/>
  <c r="CL13" i="1"/>
  <c r="DE20" i="10"/>
  <c r="CI20" i="10"/>
  <c r="CJ20" i="10" s="1"/>
  <c r="CK20" i="10" s="1"/>
  <c r="EG20" i="10"/>
  <c r="EH20" i="10" s="1"/>
  <c r="DN20" i="10" s="1"/>
  <c r="DO20" i="10" s="1"/>
  <c r="DX20" i="10"/>
  <c r="BE20" i="10" s="1"/>
  <c r="CS13" i="1"/>
  <c r="CT13" i="1" s="1"/>
  <c r="CU13" i="1" s="1"/>
  <c r="DY15" i="1" s="1"/>
  <c r="EJ13" i="1"/>
  <c r="ES42" i="1" s="1"/>
  <c r="DJ13" i="1"/>
  <c r="AY56" i="13" l="1"/>
  <c r="T23" i="13"/>
  <c r="AW25" i="13"/>
  <c r="EF22" i="13"/>
  <c r="EG22" i="13" s="1"/>
  <c r="DM22" i="13" s="1"/>
  <c r="DN22" i="13" s="1"/>
  <c r="DW22" i="13"/>
  <c r="CH22" i="13"/>
  <c r="CI22" i="13" s="1"/>
  <c r="CJ22" i="13" s="1"/>
  <c r="CK22" i="13" s="1"/>
  <c r="DH22" i="13"/>
  <c r="AY56" i="12"/>
  <c r="T23" i="12"/>
  <c r="AW25" i="12"/>
  <c r="CK22" i="12"/>
  <c r="CL22" i="12" s="1"/>
  <c r="CM22" i="12" s="1"/>
  <c r="CN22" i="12" s="1"/>
  <c r="DK22" i="12"/>
  <c r="EI22" i="12"/>
  <c r="EJ22" i="12" s="1"/>
  <c r="DP22" i="12" s="1"/>
  <c r="DQ22" i="12" s="1"/>
  <c r="DZ22" i="12"/>
  <c r="EB15" i="1"/>
  <c r="CL20" i="10"/>
  <c r="CS20" i="10"/>
  <c r="CT20" i="10" s="1"/>
  <c r="EJ20" i="10"/>
  <c r="FA49" i="10" s="1"/>
  <c r="DJ20" i="10"/>
  <c r="DL13" i="1"/>
  <c r="DP13" i="1" s="1"/>
  <c r="ET42" i="1"/>
  <c r="EU42" i="1" s="1"/>
  <c r="EV42" i="1" s="1"/>
  <c r="EW42" i="1" s="1"/>
  <c r="EX42" i="1" s="1"/>
  <c r="ES59" i="1"/>
  <c r="ES60" i="1" s="1"/>
  <c r="EL14" i="1" s="1"/>
  <c r="EI22" i="13" l="1"/>
  <c r="FA51" i="13" s="1"/>
  <c r="DI22" i="13"/>
  <c r="CR22" i="13"/>
  <c r="CS22" i="13" s="1"/>
  <c r="DZ29" i="13"/>
  <c r="DZ28" i="13"/>
  <c r="DZ25" i="13"/>
  <c r="DZ26" i="13"/>
  <c r="DZ27" i="13"/>
  <c r="DZ24" i="13"/>
  <c r="BD22" i="13"/>
  <c r="EC29" i="12"/>
  <c r="EC24" i="12"/>
  <c r="EC26" i="12"/>
  <c r="EC25" i="12"/>
  <c r="EC28" i="12"/>
  <c r="EC27" i="12"/>
  <c r="BD22" i="12"/>
  <c r="EL22" i="12"/>
  <c r="FD51" i="12" s="1"/>
  <c r="DL22" i="12"/>
  <c r="CU22" i="12"/>
  <c r="CV22" i="12" s="1"/>
  <c r="DR13" i="1"/>
  <c r="FB49" i="10"/>
  <c r="FC49" i="10" s="1"/>
  <c r="FD49" i="10" s="1"/>
  <c r="FE49" i="10" s="1"/>
  <c r="FF49" i="10" s="1"/>
  <c r="FA58" i="10"/>
  <c r="FA59" i="10" s="1"/>
  <c r="EL21" i="10" s="1"/>
  <c r="DL20" i="10"/>
  <c r="DP20" i="10" s="1"/>
  <c r="EY42" i="1"/>
  <c r="EZ42" i="1" s="1"/>
  <c r="FA42" i="1" s="1"/>
  <c r="FB42" i="1" s="1"/>
  <c r="FC42" i="1" s="1"/>
  <c r="FD42" i="1" s="1"/>
  <c r="FE42" i="1" s="1"/>
  <c r="FF42" i="1" s="1"/>
  <c r="FG42" i="1" s="1"/>
  <c r="FH42" i="1" s="1"/>
  <c r="EX58" i="1"/>
  <c r="EK18" i="1" s="1"/>
  <c r="BW13" i="1"/>
  <c r="BF13" i="1"/>
  <c r="CV13" i="1"/>
  <c r="DK13" i="1"/>
  <c r="CU20" i="10"/>
  <c r="DK22" i="13" l="1"/>
  <c r="DO22" i="13" s="1"/>
  <c r="CT22" i="13"/>
  <c r="FB51" i="13"/>
  <c r="FC51" i="13" s="1"/>
  <c r="FD51" i="13" s="1"/>
  <c r="FE51" i="13" s="1"/>
  <c r="FF51" i="13" s="1"/>
  <c r="FA59" i="13"/>
  <c r="FA60" i="13" s="1"/>
  <c r="EK23" i="13" s="1"/>
  <c r="DN22" i="12"/>
  <c r="DR22" i="12" s="1"/>
  <c r="CW22" i="12"/>
  <c r="FE51" i="12"/>
  <c r="FF51" i="12" s="1"/>
  <c r="FG51" i="12" s="1"/>
  <c r="FH51" i="12" s="1"/>
  <c r="FI51" i="12" s="1"/>
  <c r="FD59" i="12"/>
  <c r="FD60" i="12" s="1"/>
  <c r="EN23" i="12" s="1"/>
  <c r="DS13" i="1"/>
  <c r="DF14" i="1" s="1"/>
  <c r="G39" i="11"/>
  <c r="BW20" i="10"/>
  <c r="BF20" i="10"/>
  <c r="DY22" i="10"/>
  <c r="DR20" i="10"/>
  <c r="DS20" i="10" s="1"/>
  <c r="DK20" i="10"/>
  <c r="CV20" i="10"/>
  <c r="FG49" i="10"/>
  <c r="FH49" i="10" s="1"/>
  <c r="FF57" i="10"/>
  <c r="EK25" i="10" s="1"/>
  <c r="DQ22" i="13" l="1"/>
  <c r="DR22" i="13" s="1"/>
  <c r="FG51" i="13"/>
  <c r="FF58" i="13"/>
  <c r="EJ27" i="13" s="1"/>
  <c r="BV22" i="13"/>
  <c r="BE22" i="13"/>
  <c r="DX24" i="13"/>
  <c r="CU22" i="13"/>
  <c r="DJ22" i="13"/>
  <c r="DM22" i="12"/>
  <c r="BW22" i="12"/>
  <c r="BE22" i="12"/>
  <c r="EA24" i="12"/>
  <c r="FJ51" i="12"/>
  <c r="FI58" i="12"/>
  <c r="EM27" i="12" s="1"/>
  <c r="CX22" i="12"/>
  <c r="DT22" i="12"/>
  <c r="DU22" i="12" s="1"/>
  <c r="DG14" i="1"/>
  <c r="DH14" i="1" s="1"/>
  <c r="E39" i="11"/>
  <c r="DT13" i="1"/>
  <c r="BC13" i="1" s="1"/>
  <c r="EB22" i="10"/>
  <c r="DF21" i="10"/>
  <c r="DT20" i="10"/>
  <c r="BC20" i="10" s="1"/>
  <c r="DV14" i="1"/>
  <c r="DW14" i="1" s="1"/>
  <c r="CC14" i="1"/>
  <c r="DA14" i="1"/>
  <c r="DB14" i="1" s="1"/>
  <c r="DD14" i="1" s="1"/>
  <c r="C39" i="11" s="1"/>
  <c r="BB14" i="1"/>
  <c r="BD15" i="1"/>
  <c r="N24" i="1" s="1"/>
  <c r="BG15" i="1"/>
  <c r="N25" i="1" s="1"/>
  <c r="DE23" i="13" l="1"/>
  <c r="DS22" i="13"/>
  <c r="BB22" i="13" s="1"/>
  <c r="EA24" i="13"/>
  <c r="DV22" i="12"/>
  <c r="BB22" i="12" s="1"/>
  <c r="DH23" i="12"/>
  <c r="ED24" i="12"/>
  <c r="EA25" i="12"/>
  <c r="M23" i="1"/>
  <c r="F39" i="11"/>
  <c r="H39" i="11" s="1"/>
  <c r="BG22" i="10"/>
  <c r="U24" i="10" s="1"/>
  <c r="BD22" i="10"/>
  <c r="U23" i="10" s="1"/>
  <c r="DG21" i="10"/>
  <c r="DH21" i="10" s="1"/>
  <c r="DV21" i="10"/>
  <c r="DW21" i="10" s="1"/>
  <c r="DA21" i="10"/>
  <c r="DB21" i="10" s="1"/>
  <c r="DD21" i="10" s="1"/>
  <c r="CC21" i="10"/>
  <c r="BB21" i="10"/>
  <c r="I39" i="7"/>
  <c r="CI14" i="1"/>
  <c r="CJ14" i="1" s="1"/>
  <c r="CK14" i="1" s="1"/>
  <c r="DX14" i="1"/>
  <c r="BE14" i="1" s="1"/>
  <c r="EG14" i="1"/>
  <c r="EH14" i="1" s="1"/>
  <c r="DN14" i="1" s="1"/>
  <c r="DO14" i="1" s="1"/>
  <c r="DI14" i="1"/>
  <c r="BF24" i="13" l="1"/>
  <c r="V25" i="13" s="1"/>
  <c r="BC24" i="13"/>
  <c r="V24" i="13" s="1"/>
  <c r="DU23" i="13"/>
  <c r="DV23" i="13" s="1"/>
  <c r="CZ23" i="13"/>
  <c r="DA23" i="13" s="1"/>
  <c r="DC23" i="13" s="1"/>
  <c r="DF23" i="13"/>
  <c r="DG23" i="13" s="1"/>
  <c r="CB23" i="13"/>
  <c r="BA23" i="13"/>
  <c r="U23" i="13" s="1"/>
  <c r="ED25" i="12"/>
  <c r="EA26" i="12"/>
  <c r="BE24" i="12"/>
  <c r="BB24" i="12"/>
  <c r="BA24" i="12"/>
  <c r="V23" i="12" s="1"/>
  <c r="BF24" i="12"/>
  <c r="V25" i="12" s="1"/>
  <c r="BD24" i="12"/>
  <c r="BC24" i="12"/>
  <c r="V24" i="12" s="1"/>
  <c r="DC23" i="12"/>
  <c r="DD23" i="12" s="1"/>
  <c r="DF23" i="12" s="1"/>
  <c r="DX23" i="12"/>
  <c r="DY23" i="12" s="1"/>
  <c r="CE23" i="12"/>
  <c r="DI23" i="12"/>
  <c r="DJ23" i="12" s="1"/>
  <c r="BA23" i="12"/>
  <c r="U23" i="12" s="1"/>
  <c r="CL14" i="1"/>
  <c r="DE21" i="10"/>
  <c r="DX21" i="10"/>
  <c r="EG21" i="10"/>
  <c r="EH21" i="10" s="1"/>
  <c r="DN21" i="10" s="1"/>
  <c r="DO21" i="10" s="1"/>
  <c r="AZ55" i="10"/>
  <c r="T22" i="10"/>
  <c r="AW24" i="10"/>
  <c r="CI21" i="10"/>
  <c r="CJ21" i="10" s="1"/>
  <c r="CK21" i="10" s="1"/>
  <c r="EJ14" i="1"/>
  <c r="ET43" i="1" s="1"/>
  <c r="DJ14" i="1"/>
  <c r="CS14" i="1"/>
  <c r="CT14" i="1" s="1"/>
  <c r="CU14" i="1" s="1"/>
  <c r="DY16" i="1" s="1"/>
  <c r="DW23" i="13" l="1"/>
  <c r="BD23" i="13" s="1"/>
  <c r="EF23" i="13"/>
  <c r="EG23" i="13" s="1"/>
  <c r="DM23" i="13" s="1"/>
  <c r="DN23" i="13" s="1"/>
  <c r="CH23" i="13"/>
  <c r="CR23" i="13" s="1"/>
  <c r="CS23" i="13" s="1"/>
  <c r="DH23" i="13"/>
  <c r="DK23" i="12"/>
  <c r="EL23" i="12" s="1"/>
  <c r="FE52" i="12" s="1"/>
  <c r="FF52" i="12" s="1"/>
  <c r="FG52" i="12" s="1"/>
  <c r="FH52" i="12" s="1"/>
  <c r="FI52" i="12" s="1"/>
  <c r="FJ52" i="12" s="1"/>
  <c r="FJ58" i="12" s="1"/>
  <c r="BD25" i="12"/>
  <c r="BC25" i="12"/>
  <c r="W24" i="12" s="1"/>
  <c r="BB25" i="12"/>
  <c r="BA25" i="12"/>
  <c r="W23" i="12" s="1"/>
  <c r="BF25" i="12"/>
  <c r="W25" i="12" s="1"/>
  <c r="BE25" i="12"/>
  <c r="DZ23" i="12"/>
  <c r="BD23" i="12" s="1"/>
  <c r="EI23" i="12"/>
  <c r="EJ23" i="12" s="1"/>
  <c r="DP23" i="12" s="1"/>
  <c r="DQ23" i="12" s="1"/>
  <c r="CK23" i="12"/>
  <c r="CU23" i="12" s="1"/>
  <c r="CV23" i="12" s="1"/>
  <c r="EA27" i="12"/>
  <c r="EB16" i="1"/>
  <c r="CL21" i="10"/>
  <c r="EJ21" i="10"/>
  <c r="FB50" i="10" s="1"/>
  <c r="DJ21" i="10"/>
  <c r="CS21" i="10"/>
  <c r="CT21" i="10" s="1"/>
  <c r="EA28" i="10"/>
  <c r="EA27" i="10"/>
  <c r="EA24" i="10"/>
  <c r="EA26" i="10"/>
  <c r="EA25" i="10"/>
  <c r="BE21" i="10"/>
  <c r="DL14" i="1"/>
  <c r="DP14" i="1" s="1"/>
  <c r="EU43" i="1"/>
  <c r="EV43" i="1" s="1"/>
  <c r="EW43" i="1" s="1"/>
  <c r="EX43" i="1" s="1"/>
  <c r="EY43" i="1" s="1"/>
  <c r="ET59" i="1"/>
  <c r="ET60" i="1" s="1"/>
  <c r="EL15" i="1" s="1"/>
  <c r="DL23" i="12" l="1"/>
  <c r="CT23" i="13"/>
  <c r="EI23" i="13"/>
  <c r="FB52" i="13" s="1"/>
  <c r="DI23" i="13"/>
  <c r="FE59" i="12"/>
  <c r="FE60" i="12" s="1"/>
  <c r="EN24" i="12" s="1"/>
  <c r="CW23" i="12"/>
  <c r="EM28" i="12"/>
  <c r="EM29" i="12"/>
  <c r="EA28" i="12"/>
  <c r="DN23" i="12"/>
  <c r="DR23" i="12" s="1"/>
  <c r="DR14" i="1"/>
  <c r="DL21" i="10"/>
  <c r="DP21" i="10" s="1"/>
  <c r="FC50" i="10"/>
  <c r="FD50" i="10" s="1"/>
  <c r="FE50" i="10" s="1"/>
  <c r="FF50" i="10" s="1"/>
  <c r="FG50" i="10" s="1"/>
  <c r="FB58" i="10"/>
  <c r="FB59" i="10" s="1"/>
  <c r="EL22" i="10" s="1"/>
  <c r="DK14" i="1"/>
  <c r="BW14" i="1"/>
  <c r="BF14" i="1"/>
  <c r="EZ43" i="1"/>
  <c r="FA43" i="1" s="1"/>
  <c r="FB43" i="1" s="1"/>
  <c r="FC43" i="1" s="1"/>
  <c r="FD43" i="1" s="1"/>
  <c r="FE43" i="1" s="1"/>
  <c r="FF43" i="1" s="1"/>
  <c r="FG43" i="1" s="1"/>
  <c r="FH43" i="1" s="1"/>
  <c r="EY58" i="1"/>
  <c r="EK19" i="1" s="1"/>
  <c r="CV14" i="1"/>
  <c r="CU21" i="10"/>
  <c r="DK23" i="13" l="1"/>
  <c r="DO23" i="13" s="1"/>
  <c r="BV23" i="13"/>
  <c r="BE23" i="13"/>
  <c r="DX25" i="13"/>
  <c r="FC52" i="13"/>
  <c r="FD52" i="13" s="1"/>
  <c r="FE52" i="13" s="1"/>
  <c r="FF52" i="13" s="1"/>
  <c r="FG52" i="13" s="1"/>
  <c r="FG58" i="13" s="1"/>
  <c r="FB59" i="13"/>
  <c r="FB60" i="13" s="1"/>
  <c r="EK24" i="13" s="1"/>
  <c r="CU23" i="13"/>
  <c r="EA29" i="12"/>
  <c r="DT23" i="12"/>
  <c r="DU23" i="12" s="1"/>
  <c r="BW23" i="12"/>
  <c r="BE23" i="12"/>
  <c r="DM23" i="12"/>
  <c r="CX23" i="12"/>
  <c r="DS14" i="1"/>
  <c r="DF15" i="1" s="1"/>
  <c r="G40" i="11"/>
  <c r="CV21" i="10"/>
  <c r="DR21" i="10"/>
  <c r="DS21" i="10" s="1"/>
  <c r="DK21" i="10"/>
  <c r="FH50" i="10"/>
  <c r="FG57" i="10"/>
  <c r="EK26" i="10" s="1"/>
  <c r="BW21" i="10"/>
  <c r="BF21" i="10"/>
  <c r="DY23" i="10"/>
  <c r="EJ29" i="13" l="1"/>
  <c r="EJ28" i="13"/>
  <c r="DQ23" i="13"/>
  <c r="DR23" i="13" s="1"/>
  <c r="EA25" i="13"/>
  <c r="DJ23" i="13"/>
  <c r="DH24" i="12"/>
  <c r="DV23" i="12"/>
  <c r="BB23" i="12" s="1"/>
  <c r="DG15" i="1"/>
  <c r="DH15" i="1" s="1"/>
  <c r="E40" i="11"/>
  <c r="DT14" i="1"/>
  <c r="BC14" i="1" s="1"/>
  <c r="DF22" i="10"/>
  <c r="DT21" i="10"/>
  <c r="BC21" i="10" s="1"/>
  <c r="EB23" i="10"/>
  <c r="CC15" i="1"/>
  <c r="DA15" i="1"/>
  <c r="DB15" i="1" s="1"/>
  <c r="DD15" i="1" s="1"/>
  <c r="C40" i="11" s="1"/>
  <c r="DV15" i="1"/>
  <c r="DW15" i="1" s="1"/>
  <c r="BB15" i="1"/>
  <c r="BG16" i="1"/>
  <c r="O25" i="1" s="1"/>
  <c r="BD16" i="1"/>
  <c r="O24" i="1" s="1"/>
  <c r="DS23" i="13" l="1"/>
  <c r="BB23" i="13" s="1"/>
  <c r="DE24" i="13"/>
  <c r="BC25" i="13"/>
  <c r="W24" i="13" s="1"/>
  <c r="BF25" i="13"/>
  <c r="W25" i="13" s="1"/>
  <c r="DI24" i="12"/>
  <c r="DJ24" i="12" s="1"/>
  <c r="DX24" i="12"/>
  <c r="DY24" i="12" s="1"/>
  <c r="CE24" i="12"/>
  <c r="DC24" i="12"/>
  <c r="DD24" i="12" s="1"/>
  <c r="DF24" i="12" s="1"/>
  <c r="N23" i="1"/>
  <c r="F40" i="11"/>
  <c r="H40" i="11" s="1"/>
  <c r="BG23" i="10"/>
  <c r="V24" i="10" s="1"/>
  <c r="BD23" i="10"/>
  <c r="V23" i="10" s="1"/>
  <c r="DV22" i="10"/>
  <c r="DW22" i="10" s="1"/>
  <c r="DA22" i="10"/>
  <c r="DB22" i="10" s="1"/>
  <c r="DD22" i="10" s="1"/>
  <c r="CC22" i="10"/>
  <c r="DG22" i="10"/>
  <c r="DH22" i="10" s="1"/>
  <c r="BB22" i="10"/>
  <c r="U22" i="10" s="1"/>
  <c r="I40" i="7"/>
  <c r="DX15" i="1"/>
  <c r="BE15" i="1" s="1"/>
  <c r="EG15" i="1"/>
  <c r="EH15" i="1" s="1"/>
  <c r="DN15" i="1" s="1"/>
  <c r="DO15" i="1" s="1"/>
  <c r="CI15" i="1"/>
  <c r="CJ15" i="1" s="1"/>
  <c r="CK15" i="1" s="1"/>
  <c r="DI15" i="1"/>
  <c r="CZ24" i="13" l="1"/>
  <c r="DA24" i="13" s="1"/>
  <c r="DC24" i="13" s="1"/>
  <c r="DF24" i="13"/>
  <c r="DU24" i="13"/>
  <c r="DV24" i="13" s="1"/>
  <c r="CB24" i="13"/>
  <c r="BA24" i="13"/>
  <c r="V23" i="13" s="1"/>
  <c r="DK24" i="12"/>
  <c r="CK24" i="12"/>
  <c r="CU24" i="12" s="1"/>
  <c r="CV24" i="12" s="1"/>
  <c r="EI24" i="12"/>
  <c r="EJ24" i="12" s="1"/>
  <c r="DP24" i="12" s="1"/>
  <c r="DQ24" i="12" s="1"/>
  <c r="DZ24" i="12"/>
  <c r="CL15" i="1"/>
  <c r="DE22" i="10"/>
  <c r="EJ22" i="10" s="1"/>
  <c r="FC51" i="10" s="1"/>
  <c r="FC58" i="10" s="1"/>
  <c r="FC59" i="10" s="1"/>
  <c r="EL23" i="10" s="1"/>
  <c r="EG22" i="10"/>
  <c r="EH22" i="10" s="1"/>
  <c r="DN22" i="10" s="1"/>
  <c r="DO22" i="10" s="1"/>
  <c r="DX22" i="10"/>
  <c r="BE22" i="10" s="1"/>
  <c r="CI22" i="10"/>
  <c r="CS22" i="10" s="1"/>
  <c r="CT22" i="10" s="1"/>
  <c r="CS15" i="1"/>
  <c r="CT15" i="1" s="1"/>
  <c r="CU15" i="1" s="1"/>
  <c r="DY17" i="1" s="1"/>
  <c r="EJ15" i="1"/>
  <c r="EU44" i="1" s="1"/>
  <c r="DJ15" i="1"/>
  <c r="DG24" i="13" l="1"/>
  <c r="DH24" i="13" s="1"/>
  <c r="CH24" i="13"/>
  <c r="CR24" i="13" s="1"/>
  <c r="CS24" i="13" s="1"/>
  <c r="EF24" i="13"/>
  <c r="EG24" i="13" s="1"/>
  <c r="DM24" i="13" s="1"/>
  <c r="DN24" i="13" s="1"/>
  <c r="DW24" i="13"/>
  <c r="CW24" i="12"/>
  <c r="BW24" i="12" s="1"/>
  <c r="EL24" i="12"/>
  <c r="FF53" i="12" s="1"/>
  <c r="DL24" i="12"/>
  <c r="EB17" i="1"/>
  <c r="FD51" i="10"/>
  <c r="FE51" i="10" s="1"/>
  <c r="FF51" i="10" s="1"/>
  <c r="FG51" i="10" s="1"/>
  <c r="FH51" i="10" s="1"/>
  <c r="FH57" i="10" s="1"/>
  <c r="EK27" i="10" s="1"/>
  <c r="DJ22" i="10"/>
  <c r="DL22" i="10" s="1"/>
  <c r="DK22" i="10" s="1"/>
  <c r="EV44" i="1"/>
  <c r="EW44" i="1" s="1"/>
  <c r="EX44" i="1" s="1"/>
  <c r="EY44" i="1" s="1"/>
  <c r="EZ44" i="1" s="1"/>
  <c r="EU59" i="1"/>
  <c r="EU60" i="1" s="1"/>
  <c r="EL16" i="1" s="1"/>
  <c r="DL15" i="1"/>
  <c r="DP15" i="1" s="1"/>
  <c r="BW15" i="1"/>
  <c r="BF15" i="1"/>
  <c r="CV15" i="1"/>
  <c r="CU22" i="10"/>
  <c r="BD24" i="13" l="1"/>
  <c r="EI24" i="13"/>
  <c r="FC53" i="13" s="1"/>
  <c r="DI24" i="13"/>
  <c r="DK24" i="13" s="1"/>
  <c r="DO24" i="13" s="1"/>
  <c r="CT24" i="13"/>
  <c r="DX26" i="13" s="1"/>
  <c r="CX24" i="12"/>
  <c r="DN24" i="12"/>
  <c r="DR24" i="12" s="1"/>
  <c r="FG53" i="12"/>
  <c r="FH53" i="12" s="1"/>
  <c r="FI53" i="12" s="1"/>
  <c r="FJ53" i="12" s="1"/>
  <c r="FF59" i="12"/>
  <c r="FF60" i="12" s="1"/>
  <c r="EN25" i="12" s="1"/>
  <c r="DR15" i="1"/>
  <c r="DP22" i="10"/>
  <c r="DR22" i="10" s="1"/>
  <c r="DS22" i="10" s="1"/>
  <c r="EK28" i="10"/>
  <c r="BW22" i="10"/>
  <c r="BF22" i="10"/>
  <c r="DY24" i="10"/>
  <c r="CV22" i="10"/>
  <c r="DK15" i="1"/>
  <c r="FA44" i="1"/>
  <c r="FB44" i="1" s="1"/>
  <c r="FC44" i="1" s="1"/>
  <c r="FD44" i="1" s="1"/>
  <c r="FE44" i="1" s="1"/>
  <c r="FF44" i="1" s="1"/>
  <c r="FG44" i="1" s="1"/>
  <c r="FH44" i="1" s="1"/>
  <c r="EZ58" i="1"/>
  <c r="EK20" i="1" s="1"/>
  <c r="FD53" i="13" l="1"/>
  <c r="FE53" i="13" s="1"/>
  <c r="FF53" i="13" s="1"/>
  <c r="FG53" i="13" s="1"/>
  <c r="FC59" i="13"/>
  <c r="FC60" i="13" s="1"/>
  <c r="EK25" i="13" s="1"/>
  <c r="DQ24" i="13"/>
  <c r="DR24" i="13" s="1"/>
  <c r="BV24" i="13"/>
  <c r="BE24" i="13"/>
  <c r="CU24" i="13"/>
  <c r="DJ24" i="13"/>
  <c r="DM24" i="12"/>
  <c r="DT24" i="12"/>
  <c r="DU24" i="12" s="1"/>
  <c r="DS15" i="1"/>
  <c r="DF16" i="1" s="1"/>
  <c r="G41" i="11"/>
  <c r="DF23" i="10"/>
  <c r="DT22" i="10"/>
  <c r="BC22" i="10" s="1"/>
  <c r="BD17" i="1"/>
  <c r="P24" i="1" s="1"/>
  <c r="BG17" i="1"/>
  <c r="P25" i="1" s="1"/>
  <c r="DS24" i="13" l="1"/>
  <c r="BB24" i="13" s="1"/>
  <c r="DE25" i="13"/>
  <c r="DH25" i="12"/>
  <c r="DV24" i="12"/>
  <c r="DT15" i="1"/>
  <c r="BC15" i="1" s="1"/>
  <c r="DG16" i="1"/>
  <c r="DH16" i="1" s="1"/>
  <c r="E41" i="11"/>
  <c r="DV23" i="10"/>
  <c r="DW23" i="10" s="1"/>
  <c r="DA23" i="10"/>
  <c r="DB23" i="10" s="1"/>
  <c r="DD23" i="10" s="1"/>
  <c r="CC23" i="10"/>
  <c r="DG23" i="10"/>
  <c r="DH23" i="10" s="1"/>
  <c r="BB23" i="10"/>
  <c r="V22" i="10" s="1"/>
  <c r="DA16" i="1"/>
  <c r="DB16" i="1" s="1"/>
  <c r="DD16" i="1" s="1"/>
  <c r="C41" i="11" s="1"/>
  <c r="DV16" i="1"/>
  <c r="DW16" i="1" s="1"/>
  <c r="CC16" i="1"/>
  <c r="BB16" i="1"/>
  <c r="CZ25" i="13" l="1"/>
  <c r="DA25" i="13" s="1"/>
  <c r="DC25" i="13" s="1"/>
  <c r="DF25" i="13"/>
  <c r="CB25" i="13"/>
  <c r="DU25" i="13"/>
  <c r="DV25" i="13" s="1"/>
  <c r="BA25" i="13"/>
  <c r="W23" i="13" s="1"/>
  <c r="DX25" i="12"/>
  <c r="DY25" i="12" s="1"/>
  <c r="CE25" i="12"/>
  <c r="DC25" i="12"/>
  <c r="DD25" i="12" s="1"/>
  <c r="DF25" i="12" s="1"/>
  <c r="DI25" i="12"/>
  <c r="DJ25" i="12" s="1"/>
  <c r="O23" i="1"/>
  <c r="F41" i="11"/>
  <c r="H41" i="11" s="1"/>
  <c r="DE23" i="10"/>
  <c r="EJ23" i="10" s="1"/>
  <c r="FD52" i="10" s="1"/>
  <c r="FE52" i="10" s="1"/>
  <c r="FF52" i="10" s="1"/>
  <c r="FG52" i="10" s="1"/>
  <c r="FH52" i="10" s="1"/>
  <c r="EG23" i="10"/>
  <c r="EH23" i="10" s="1"/>
  <c r="DN23" i="10" s="1"/>
  <c r="DO23" i="10" s="1"/>
  <c r="DX23" i="10"/>
  <c r="BE23" i="10" s="1"/>
  <c r="CI23" i="10"/>
  <c r="CS23" i="10" s="1"/>
  <c r="CT23" i="10" s="1"/>
  <c r="I41" i="7"/>
  <c r="DI16" i="1"/>
  <c r="EJ16" i="1" s="1"/>
  <c r="EV45" i="1" s="1"/>
  <c r="EW45" i="1" s="1"/>
  <c r="EX45" i="1" s="1"/>
  <c r="EY45" i="1" s="1"/>
  <c r="EZ45" i="1" s="1"/>
  <c r="FA45" i="1" s="1"/>
  <c r="CI16" i="1"/>
  <c r="CJ16" i="1" s="1"/>
  <c r="CK16" i="1" s="1"/>
  <c r="DX16" i="1"/>
  <c r="BE16" i="1" s="1"/>
  <c r="EG16" i="1"/>
  <c r="EH16" i="1" s="1"/>
  <c r="DN16" i="1" s="1"/>
  <c r="DO16" i="1" s="1"/>
  <c r="DG25" i="13" l="1"/>
  <c r="DH25" i="13" s="1"/>
  <c r="EF25" i="13"/>
  <c r="EG25" i="13" s="1"/>
  <c r="DM25" i="13" s="1"/>
  <c r="DN25" i="13" s="1"/>
  <c r="DW25" i="13"/>
  <c r="CH25" i="13"/>
  <c r="CR25" i="13" s="1"/>
  <c r="CS25" i="13" s="1"/>
  <c r="DK25" i="12"/>
  <c r="CK25" i="12"/>
  <c r="CU25" i="12" s="1"/>
  <c r="CV25" i="12" s="1"/>
  <c r="DZ25" i="12"/>
  <c r="EB26" i="12" s="1"/>
  <c r="EI25" i="12"/>
  <c r="EJ25" i="12" s="1"/>
  <c r="DP25" i="12" s="1"/>
  <c r="DQ25" i="12" s="1"/>
  <c r="CL16" i="1"/>
  <c r="FD58" i="10"/>
  <c r="FD59" i="10" s="1"/>
  <c r="EL24" i="10" s="1"/>
  <c r="DJ23" i="10"/>
  <c r="DL23" i="10" s="1"/>
  <c r="DP23" i="10" s="1"/>
  <c r="DJ16" i="1"/>
  <c r="DL16" i="1" s="1"/>
  <c r="DP16" i="1" s="1"/>
  <c r="EV59" i="1"/>
  <c r="EV60" i="1" s="1"/>
  <c r="EL17" i="1" s="1"/>
  <c r="CS16" i="1"/>
  <c r="CT16" i="1" s="1"/>
  <c r="CU16" i="1" s="1"/>
  <c r="DY18" i="1" s="1"/>
  <c r="FB45" i="1"/>
  <c r="FC45" i="1" s="1"/>
  <c r="FD45" i="1" s="1"/>
  <c r="FE45" i="1" s="1"/>
  <c r="FF45" i="1" s="1"/>
  <c r="FG45" i="1" s="1"/>
  <c r="FH45" i="1" s="1"/>
  <c r="FA58" i="1"/>
  <c r="EK21" i="1" s="1"/>
  <c r="CU23" i="10"/>
  <c r="BD25" i="13" l="1"/>
  <c r="DY26" i="13"/>
  <c r="EI25" i="13"/>
  <c r="FD54" i="13" s="1"/>
  <c r="DI25" i="13"/>
  <c r="DK25" i="13" s="1"/>
  <c r="DO25" i="13" s="1"/>
  <c r="CT25" i="13"/>
  <c r="EB27" i="12"/>
  <c r="ED27" i="12" s="1"/>
  <c r="ED26" i="12"/>
  <c r="CW25" i="12"/>
  <c r="BW25" i="12" s="1"/>
  <c r="EL25" i="12"/>
  <c r="FG54" i="12" s="1"/>
  <c r="DL25" i="12"/>
  <c r="EB18" i="1"/>
  <c r="DR16" i="1"/>
  <c r="DY25" i="10"/>
  <c r="DK23" i="10"/>
  <c r="BW23" i="10"/>
  <c r="BF23" i="10"/>
  <c r="DR23" i="10"/>
  <c r="DS23" i="10" s="1"/>
  <c r="CV23" i="10"/>
  <c r="DK16" i="1"/>
  <c r="CU25" i="13" l="1"/>
  <c r="DX27" i="13"/>
  <c r="DX28" i="13" s="1"/>
  <c r="DX29" i="13" s="1"/>
  <c r="EA26" i="13"/>
  <c r="FE54" i="13"/>
  <c r="FF54" i="13" s="1"/>
  <c r="FG54" i="13" s="1"/>
  <c r="FD59" i="13"/>
  <c r="FD60" i="13" s="1"/>
  <c r="EK26" i="13" s="1"/>
  <c r="DQ25" i="13"/>
  <c r="DR25" i="13" s="1"/>
  <c r="DJ25" i="13"/>
  <c r="BV25" i="13"/>
  <c r="BE25" i="13"/>
  <c r="BD26" i="12"/>
  <c r="BC26" i="12"/>
  <c r="X24" i="12" s="1"/>
  <c r="BB26" i="12"/>
  <c r="BF26" i="12"/>
  <c r="X25" i="12" s="1"/>
  <c r="BA26" i="12"/>
  <c r="X23" i="12" s="1"/>
  <c r="BE26" i="12"/>
  <c r="BD27" i="12"/>
  <c r="BE27" i="12"/>
  <c r="BC27" i="12"/>
  <c r="Y24" i="12" s="1"/>
  <c r="BB27" i="12"/>
  <c r="BF27" i="12"/>
  <c r="Y25" i="12" s="1"/>
  <c r="BA27" i="12"/>
  <c r="Y23" i="12" s="1"/>
  <c r="FH54" i="12"/>
  <c r="FI54" i="12" s="1"/>
  <c r="FJ54" i="12" s="1"/>
  <c r="FG59" i="12"/>
  <c r="FG60" i="12" s="1"/>
  <c r="EN26" i="12" s="1"/>
  <c r="DN25" i="12"/>
  <c r="DR25" i="12" s="1"/>
  <c r="CX25" i="12"/>
  <c r="DS16" i="1"/>
  <c r="DF17" i="1" s="1"/>
  <c r="G42" i="11"/>
  <c r="DF24" i="10"/>
  <c r="DT23" i="10"/>
  <c r="BC23" i="10" s="1"/>
  <c r="BW16" i="1"/>
  <c r="BF16" i="1"/>
  <c r="CV16" i="1"/>
  <c r="Z24" i="12" l="1"/>
  <c r="BC26" i="13"/>
  <c r="X24" i="13" s="1"/>
  <c r="BF26" i="13"/>
  <c r="X25" i="13" s="1"/>
  <c r="DS25" i="13"/>
  <c r="BB25" i="13" s="1"/>
  <c r="DE26" i="13"/>
  <c r="DM25" i="12"/>
  <c r="DT25" i="12"/>
  <c r="DU25" i="12" s="1"/>
  <c r="DT16" i="1"/>
  <c r="BC16" i="1" s="1"/>
  <c r="DG17" i="1"/>
  <c r="DH17" i="1" s="1"/>
  <c r="E42" i="11"/>
  <c r="CC24" i="10"/>
  <c r="DV24" i="10"/>
  <c r="DW24" i="10" s="1"/>
  <c r="DA24" i="10"/>
  <c r="DB24" i="10" s="1"/>
  <c r="DD24" i="10" s="1"/>
  <c r="DG24" i="10"/>
  <c r="DH24" i="10" s="1"/>
  <c r="DA17" i="1"/>
  <c r="DB17" i="1" s="1"/>
  <c r="DD17" i="1" s="1"/>
  <c r="C42" i="11" s="1"/>
  <c r="DV17" i="1"/>
  <c r="DW17" i="1" s="1"/>
  <c r="CC17" i="1"/>
  <c r="BB17" i="1"/>
  <c r="CB26" i="13" l="1"/>
  <c r="CZ26" i="13"/>
  <c r="DA26" i="13" s="1"/>
  <c r="DC26" i="13" s="1"/>
  <c r="DF26" i="13"/>
  <c r="DG26" i="13" s="1"/>
  <c r="DU26" i="13"/>
  <c r="DV26" i="13" s="1"/>
  <c r="BA26" i="13"/>
  <c r="X23" i="13" s="1"/>
  <c r="DH26" i="12"/>
  <c r="DV25" i="12"/>
  <c r="P23" i="1"/>
  <c r="F42" i="11"/>
  <c r="H42" i="11" s="1"/>
  <c r="DE24" i="10"/>
  <c r="DX24" i="10"/>
  <c r="EG24" i="10"/>
  <c r="EH24" i="10" s="1"/>
  <c r="DN24" i="10" s="1"/>
  <c r="DO24" i="10" s="1"/>
  <c r="DZ24" i="10"/>
  <c r="CI24" i="10"/>
  <c r="CS24" i="10" s="1"/>
  <c r="CT24" i="10" s="1"/>
  <c r="I42" i="7"/>
  <c r="DI17" i="1"/>
  <c r="CI17" i="1"/>
  <c r="CJ17" i="1" s="1"/>
  <c r="CK17" i="1" s="1"/>
  <c r="EG17" i="1"/>
  <c r="EH17" i="1" s="1"/>
  <c r="DN17" i="1" s="1"/>
  <c r="DO17" i="1" s="1"/>
  <c r="DX17" i="1"/>
  <c r="BE17" i="1" s="1"/>
  <c r="BD18" i="1"/>
  <c r="Q24" i="1" s="1"/>
  <c r="BG18" i="1"/>
  <c r="Q25" i="1" s="1"/>
  <c r="EF26" i="13" l="1"/>
  <c r="EG26" i="13" s="1"/>
  <c r="DM26" i="13" s="1"/>
  <c r="DN26" i="13" s="1"/>
  <c r="DW26" i="13"/>
  <c r="DY27" i="13" s="1"/>
  <c r="EA27" i="13" s="1"/>
  <c r="DH26" i="13"/>
  <c r="CH26" i="13"/>
  <c r="CR26" i="13" s="1"/>
  <c r="CS26" i="13" s="1"/>
  <c r="DI26" i="12"/>
  <c r="DJ26" i="12" s="1"/>
  <c r="CE26" i="12"/>
  <c r="DC26" i="12"/>
  <c r="DD26" i="12" s="1"/>
  <c r="DF26" i="12" s="1"/>
  <c r="DX26" i="12"/>
  <c r="DY26" i="12" s="1"/>
  <c r="CL17" i="1"/>
  <c r="EB24" i="10"/>
  <c r="EJ24" i="10"/>
  <c r="FE53" i="10" s="1"/>
  <c r="DJ24" i="10"/>
  <c r="CS17" i="1"/>
  <c r="CT17" i="1" s="1"/>
  <c r="CU17" i="1" s="1"/>
  <c r="DY19" i="1" s="1"/>
  <c r="EJ17" i="1"/>
  <c r="EW46" i="1" s="1"/>
  <c r="DJ17" i="1"/>
  <c r="CU24" i="10"/>
  <c r="BC27" i="13" l="1"/>
  <c r="Y24" i="13" s="1"/>
  <c r="Z24" i="13" s="1"/>
  <c r="BF27" i="13"/>
  <c r="Y25" i="13" s="1"/>
  <c r="CT26" i="13"/>
  <c r="CU26" i="13" s="1"/>
  <c r="EI26" i="13"/>
  <c r="FE55" i="13" s="1"/>
  <c r="DI26" i="13"/>
  <c r="BD26" i="13"/>
  <c r="EI26" i="12"/>
  <c r="EJ26" i="12" s="1"/>
  <c r="DP26" i="12" s="1"/>
  <c r="DQ26" i="12" s="1"/>
  <c r="DZ26" i="12"/>
  <c r="CK26" i="12"/>
  <c r="CU26" i="12" s="1"/>
  <c r="CV26" i="12" s="1"/>
  <c r="DK26" i="12"/>
  <c r="EB19" i="1"/>
  <c r="BW24" i="10"/>
  <c r="DY26" i="10"/>
  <c r="BE24" i="10"/>
  <c r="BF24" i="10"/>
  <c r="BB24" i="10"/>
  <c r="W22" i="10" s="1"/>
  <c r="BG24" i="10"/>
  <c r="W24" i="10" s="1"/>
  <c r="BD24" i="10"/>
  <c r="W23" i="10" s="1"/>
  <c r="DL24" i="10"/>
  <c r="DP24" i="10" s="1"/>
  <c r="FF53" i="10"/>
  <c r="FG53" i="10" s="1"/>
  <c r="FH53" i="10" s="1"/>
  <c r="FE58" i="10"/>
  <c r="FE59" i="10" s="1"/>
  <c r="EL25" i="10" s="1"/>
  <c r="CV24" i="10"/>
  <c r="DL17" i="1"/>
  <c r="DP17" i="1" s="1"/>
  <c r="EX46" i="1"/>
  <c r="EY46" i="1" s="1"/>
  <c r="EZ46" i="1" s="1"/>
  <c r="FA46" i="1" s="1"/>
  <c r="FB46" i="1" s="1"/>
  <c r="EW59" i="1"/>
  <c r="EW60" i="1" s="1"/>
  <c r="EL18" i="1" s="1"/>
  <c r="DK26" i="13" l="1"/>
  <c r="DO26" i="13" s="1"/>
  <c r="FF55" i="13"/>
  <c r="FG55" i="13" s="1"/>
  <c r="FE59" i="13"/>
  <c r="FE60" i="13" s="1"/>
  <c r="EK27" i="13" s="1"/>
  <c r="BV26" i="13"/>
  <c r="BE26" i="13"/>
  <c r="CW26" i="12"/>
  <c r="BW26" i="12" s="1"/>
  <c r="EL26" i="12"/>
  <c r="FH55" i="12" s="1"/>
  <c r="DL26" i="12"/>
  <c r="DR17" i="1"/>
  <c r="CV17" i="1"/>
  <c r="BW17" i="1"/>
  <c r="DR24" i="10"/>
  <c r="DS24" i="10" s="1"/>
  <c r="DK24" i="10"/>
  <c r="BF17" i="1"/>
  <c r="FC46" i="1"/>
  <c r="FD46" i="1" s="1"/>
  <c r="FE46" i="1" s="1"/>
  <c r="FF46" i="1" s="1"/>
  <c r="FG46" i="1" s="1"/>
  <c r="FH46" i="1" s="1"/>
  <c r="FB58" i="1"/>
  <c r="EK22" i="1" s="1"/>
  <c r="DK17" i="1"/>
  <c r="DJ26" i="13" l="1"/>
  <c r="DQ26" i="13"/>
  <c r="DR26" i="13" s="1"/>
  <c r="CX26" i="12"/>
  <c r="DN26" i="12"/>
  <c r="DR26" i="12" s="1"/>
  <c r="FI55" i="12"/>
  <c r="FJ55" i="12" s="1"/>
  <c r="FH59" i="12"/>
  <c r="FH60" i="12" s="1"/>
  <c r="EN27" i="12" s="1"/>
  <c r="DS17" i="1"/>
  <c r="DF18" i="1" s="1"/>
  <c r="G43" i="11"/>
  <c r="DF25" i="10"/>
  <c r="DT24" i="10"/>
  <c r="BC24" i="10" s="1"/>
  <c r="BD19" i="1"/>
  <c r="R24" i="1" s="1"/>
  <c r="BG19" i="1"/>
  <c r="R25" i="1" s="1"/>
  <c r="DE27" i="13" l="1"/>
  <c r="DS26" i="13"/>
  <c r="BB26" i="13" s="1"/>
  <c r="DM26" i="12"/>
  <c r="DT26" i="12"/>
  <c r="DU26" i="12" s="1"/>
  <c r="DT17" i="1"/>
  <c r="BC17" i="1" s="1"/>
  <c r="DG18" i="1"/>
  <c r="DH18" i="1" s="1"/>
  <c r="E43" i="11"/>
  <c r="DV25" i="10"/>
  <c r="DW25" i="10" s="1"/>
  <c r="DZ25" i="10" s="1"/>
  <c r="DA25" i="10"/>
  <c r="DB25" i="10" s="1"/>
  <c r="DD25" i="10" s="1"/>
  <c r="CC25" i="10"/>
  <c r="DG25" i="10"/>
  <c r="DH25" i="10" s="1"/>
  <c r="DA18" i="1"/>
  <c r="DB18" i="1" s="1"/>
  <c r="DD18" i="1" s="1"/>
  <c r="C43" i="11" s="1"/>
  <c r="CC18" i="1"/>
  <c r="DV18" i="1"/>
  <c r="DW18" i="1" s="1"/>
  <c r="BB18" i="1"/>
  <c r="DF27" i="13" l="1"/>
  <c r="DG27" i="13" s="1"/>
  <c r="DU27" i="13"/>
  <c r="DV27" i="13" s="1"/>
  <c r="CB27" i="13"/>
  <c r="CZ27" i="13"/>
  <c r="DA27" i="13" s="1"/>
  <c r="DC27" i="13" s="1"/>
  <c r="BA27" i="13"/>
  <c r="Y23" i="13" s="1"/>
  <c r="DV26" i="12"/>
  <c r="DH27" i="12"/>
  <c r="Q23" i="1"/>
  <c r="F43" i="11"/>
  <c r="H43" i="11" s="1"/>
  <c r="DE25" i="10"/>
  <c r="EJ25" i="10" s="1"/>
  <c r="FF54" i="10" s="1"/>
  <c r="FG54" i="10" s="1"/>
  <c r="FH54" i="10" s="1"/>
  <c r="EB25" i="10"/>
  <c r="CI25" i="10"/>
  <c r="CS25" i="10" s="1"/>
  <c r="CT25" i="10" s="1"/>
  <c r="DX25" i="10"/>
  <c r="EG25" i="10"/>
  <c r="EH25" i="10" s="1"/>
  <c r="DN25" i="10" s="1"/>
  <c r="DO25" i="10" s="1"/>
  <c r="I43" i="7"/>
  <c r="DX18" i="1"/>
  <c r="BE18" i="1" s="1"/>
  <c r="EG18" i="1"/>
  <c r="EH18" i="1" s="1"/>
  <c r="DN18" i="1" s="1"/>
  <c r="DO18" i="1" s="1"/>
  <c r="CI18" i="1"/>
  <c r="CJ18" i="1" s="1"/>
  <c r="CK18" i="1" s="1"/>
  <c r="DI18" i="1"/>
  <c r="CH27" i="13" l="1"/>
  <c r="CR27" i="13" s="1"/>
  <c r="CS27" i="13" s="1"/>
  <c r="EF27" i="13"/>
  <c r="EG27" i="13" s="1"/>
  <c r="DM27" i="13" s="1"/>
  <c r="DN27" i="13" s="1"/>
  <c r="DW27" i="13"/>
  <c r="DH27" i="13"/>
  <c r="DX27" i="12"/>
  <c r="DY27" i="12" s="1"/>
  <c r="DI27" i="12"/>
  <c r="DJ27" i="12" s="1"/>
  <c r="DC27" i="12"/>
  <c r="DD27" i="12" s="1"/>
  <c r="DF27" i="12" s="1"/>
  <c r="CE27" i="12"/>
  <c r="CL18" i="1"/>
  <c r="FF58" i="10"/>
  <c r="FF59" i="10" s="1"/>
  <c r="EL26" i="10" s="1"/>
  <c r="BB25" i="10"/>
  <c r="BE25" i="10"/>
  <c r="BD25" i="10"/>
  <c r="X23" i="10" s="1"/>
  <c r="BF25" i="10"/>
  <c r="BG25" i="10"/>
  <c r="X24" i="10" s="1"/>
  <c r="DJ25" i="10"/>
  <c r="DL25" i="10" s="1"/>
  <c r="DP25" i="10" s="1"/>
  <c r="CS18" i="1"/>
  <c r="CT18" i="1" s="1"/>
  <c r="CU18" i="1" s="1"/>
  <c r="DY20" i="1" s="1"/>
  <c r="EJ18" i="1"/>
  <c r="EX47" i="1" s="1"/>
  <c r="DJ18" i="1"/>
  <c r="CU25" i="10"/>
  <c r="CT27" i="13" l="1"/>
  <c r="BD27" i="13"/>
  <c r="DY28" i="13"/>
  <c r="EI27" i="13"/>
  <c r="FF56" i="13" s="1"/>
  <c r="DI27" i="13"/>
  <c r="CK27" i="12"/>
  <c r="CU27" i="12" s="1"/>
  <c r="CV27" i="12" s="1"/>
  <c r="DK27" i="12"/>
  <c r="DZ27" i="12"/>
  <c r="EB28" i="12" s="1"/>
  <c r="EI27" i="12"/>
  <c r="EJ27" i="12" s="1"/>
  <c r="DP27" i="12" s="1"/>
  <c r="DQ27" i="12" s="1"/>
  <c r="EB20" i="1"/>
  <c r="BW25" i="10"/>
  <c r="DY27" i="10"/>
  <c r="X22" i="10"/>
  <c r="DK25" i="10"/>
  <c r="DR25" i="10"/>
  <c r="DS25" i="10" s="1"/>
  <c r="CV25" i="10"/>
  <c r="DL18" i="1"/>
  <c r="DP18" i="1" s="1"/>
  <c r="EY47" i="1"/>
  <c r="EZ47" i="1" s="1"/>
  <c r="FA47" i="1" s="1"/>
  <c r="FB47" i="1" s="1"/>
  <c r="FC47" i="1" s="1"/>
  <c r="EX59" i="1"/>
  <c r="EX60" i="1" s="1"/>
  <c r="EL19" i="1" s="1"/>
  <c r="CV18" i="1"/>
  <c r="DK27" i="13" l="1"/>
  <c r="DO27" i="13" s="1"/>
  <c r="EA28" i="13"/>
  <c r="FG56" i="13"/>
  <c r="FF59" i="13"/>
  <c r="FF60" i="13" s="1"/>
  <c r="BV27" i="13"/>
  <c r="BE27" i="13"/>
  <c r="CU27" i="13"/>
  <c r="CW27" i="12"/>
  <c r="BW27" i="12" s="1"/>
  <c r="EB29" i="12"/>
  <c r="ED29" i="12" s="1"/>
  <c r="ED28" i="12"/>
  <c r="EL27" i="12"/>
  <c r="FI56" i="12" s="1"/>
  <c r="DL27" i="12"/>
  <c r="DR18" i="1"/>
  <c r="DF26" i="10"/>
  <c r="DT25" i="10"/>
  <c r="BC25" i="10" s="1"/>
  <c r="FD47" i="1"/>
  <c r="FE47" i="1" s="1"/>
  <c r="FF47" i="1" s="1"/>
  <c r="FG47" i="1" s="1"/>
  <c r="FH47" i="1" s="1"/>
  <c r="FC58" i="1"/>
  <c r="EK23" i="1" s="1"/>
  <c r="BW18" i="1"/>
  <c r="BF18" i="1"/>
  <c r="DK18" i="1"/>
  <c r="EK29" i="13" l="1"/>
  <c r="EK28" i="13"/>
  <c r="BC28" i="13"/>
  <c r="BE28" i="13"/>
  <c r="BF28" i="13"/>
  <c r="Z25" i="13" s="1"/>
  <c r="DQ27" i="13"/>
  <c r="DR27" i="13" s="1"/>
  <c r="DJ27" i="13"/>
  <c r="CX27" i="12"/>
  <c r="DN27" i="12"/>
  <c r="DR27" i="12" s="1"/>
  <c r="FJ56" i="12"/>
  <c r="FI59" i="12"/>
  <c r="FI60" i="12" s="1"/>
  <c r="BF28" i="12"/>
  <c r="Z25" i="12" s="1"/>
  <c r="BE28" i="12"/>
  <c r="BD28" i="12"/>
  <c r="BC28" i="12"/>
  <c r="BA29" i="12"/>
  <c r="BA28" i="12"/>
  <c r="Z23" i="12" s="1"/>
  <c r="BB28" i="12"/>
  <c r="BD29" i="12"/>
  <c r="BF29" i="12"/>
  <c r="AA25" i="12" s="1"/>
  <c r="BE29" i="12"/>
  <c r="BC29" i="12"/>
  <c r="BB29" i="12"/>
  <c r="DS18" i="1"/>
  <c r="DF19" i="1" s="1"/>
  <c r="G44" i="11"/>
  <c r="CC26" i="10"/>
  <c r="DV26" i="10"/>
  <c r="DW26" i="10" s="1"/>
  <c r="DZ26" i="10" s="1"/>
  <c r="DA26" i="10"/>
  <c r="DB26" i="10" s="1"/>
  <c r="DD26" i="10" s="1"/>
  <c r="DG26" i="10"/>
  <c r="DH26" i="10" s="1"/>
  <c r="DE28" i="13" l="1"/>
  <c r="DS27" i="13"/>
  <c r="BB27" i="13" s="1"/>
  <c r="DM27" i="12"/>
  <c r="BC30" i="12"/>
  <c r="EN28" i="12"/>
  <c r="EN29" i="12"/>
  <c r="AA23" i="12"/>
  <c r="BA30" i="12"/>
  <c r="DT27" i="12"/>
  <c r="DU27" i="12" s="1"/>
  <c r="DG19" i="1"/>
  <c r="DH19" i="1" s="1"/>
  <c r="E44" i="11"/>
  <c r="DT18" i="1"/>
  <c r="BC18" i="1" s="1"/>
  <c r="DE26" i="10"/>
  <c r="EB26" i="10"/>
  <c r="DX26" i="10"/>
  <c r="EG26" i="10"/>
  <c r="EH26" i="10" s="1"/>
  <c r="DN26" i="10" s="1"/>
  <c r="DO26" i="10" s="1"/>
  <c r="CI26" i="10"/>
  <c r="CS26" i="10" s="1"/>
  <c r="CT26" i="10" s="1"/>
  <c r="DA19" i="1"/>
  <c r="DB19" i="1" s="1"/>
  <c r="DD19" i="1" s="1"/>
  <c r="C44" i="11" s="1"/>
  <c r="CC19" i="1"/>
  <c r="DV19" i="1"/>
  <c r="DW19" i="1" s="1"/>
  <c r="BB19" i="1"/>
  <c r="BG20" i="1"/>
  <c r="S25" i="1" s="1"/>
  <c r="BD20" i="1"/>
  <c r="S24" i="1" s="1"/>
  <c r="DF28" i="13" l="1"/>
  <c r="DG28" i="13" s="1"/>
  <c r="CZ28" i="13"/>
  <c r="DA28" i="13" s="1"/>
  <c r="DC28" i="13" s="1"/>
  <c r="CB28" i="13"/>
  <c r="DU28" i="13"/>
  <c r="DV28" i="13" s="1"/>
  <c r="BA28" i="13"/>
  <c r="Z23" i="13" s="1"/>
  <c r="DH28" i="12"/>
  <c r="DV27" i="12"/>
  <c r="R23" i="1"/>
  <c r="F44" i="11"/>
  <c r="H44" i="11" s="1"/>
  <c r="BG26" i="10"/>
  <c r="Y24" i="10" s="1"/>
  <c r="BF26" i="10"/>
  <c r="BD26" i="10"/>
  <c r="Y23" i="10" s="1"/>
  <c r="Z23" i="10" s="1"/>
  <c r="BE26" i="10"/>
  <c r="BB26" i="10"/>
  <c r="EJ26" i="10"/>
  <c r="FG55" i="10" s="1"/>
  <c r="DJ26" i="10"/>
  <c r="I44" i="7"/>
  <c r="DI19" i="1"/>
  <c r="EJ19" i="1" s="1"/>
  <c r="EY48" i="1" s="1"/>
  <c r="EZ48" i="1" s="1"/>
  <c r="FA48" i="1" s="1"/>
  <c r="FB48" i="1" s="1"/>
  <c r="FC48" i="1" s="1"/>
  <c r="FD48" i="1" s="1"/>
  <c r="DX19" i="1"/>
  <c r="BE19" i="1" s="1"/>
  <c r="EG19" i="1"/>
  <c r="EH19" i="1" s="1"/>
  <c r="DN19" i="1" s="1"/>
  <c r="DO19" i="1" s="1"/>
  <c r="CI19" i="1"/>
  <c r="CJ19" i="1" s="1"/>
  <c r="CK19" i="1" s="1"/>
  <c r="CU26" i="10"/>
  <c r="CH28" i="13" l="1"/>
  <c r="CR28" i="13" s="1"/>
  <c r="CS28" i="13" s="1"/>
  <c r="EF28" i="13"/>
  <c r="EG28" i="13" s="1"/>
  <c r="DM28" i="13" s="1"/>
  <c r="DN28" i="13" s="1"/>
  <c r="DW28" i="13"/>
  <c r="DH28" i="13"/>
  <c r="DC28" i="12"/>
  <c r="DD28" i="12" s="1"/>
  <c r="DF28" i="12" s="1"/>
  <c r="DX28" i="12"/>
  <c r="DY28" i="12" s="1"/>
  <c r="CE28" i="12"/>
  <c r="DI28" i="12"/>
  <c r="DJ28" i="12" s="1"/>
  <c r="CL19" i="1"/>
  <c r="BW26" i="10"/>
  <c r="DY28" i="10"/>
  <c r="Y22" i="10"/>
  <c r="DL26" i="10"/>
  <c r="DP26" i="10" s="1"/>
  <c r="FH55" i="10"/>
  <c r="FG58" i="10"/>
  <c r="FG59" i="10" s="1"/>
  <c r="CV26" i="10"/>
  <c r="DJ19" i="1"/>
  <c r="DL19" i="1" s="1"/>
  <c r="DP19" i="1" s="1"/>
  <c r="EY59" i="1"/>
  <c r="EY60" i="1" s="1"/>
  <c r="EL20" i="1" s="1"/>
  <c r="FE48" i="1"/>
  <c r="FF48" i="1" s="1"/>
  <c r="FG48" i="1" s="1"/>
  <c r="FH48" i="1" s="1"/>
  <c r="FD58" i="1"/>
  <c r="EK24" i="1" s="1"/>
  <c r="CS19" i="1"/>
  <c r="CT19" i="1" s="1"/>
  <c r="CU19" i="1" s="1"/>
  <c r="BD28" i="13" l="1"/>
  <c r="DY29" i="13"/>
  <c r="EA29" i="13" s="1"/>
  <c r="CT28" i="13"/>
  <c r="BV28" i="13" s="1"/>
  <c r="EI28" i="13"/>
  <c r="FG57" i="13" s="1"/>
  <c r="FG59" i="13" s="1"/>
  <c r="FG60" i="13" s="1"/>
  <c r="DI28" i="13"/>
  <c r="DK28" i="12"/>
  <c r="EL28" i="12" s="1"/>
  <c r="FJ57" i="12" s="1"/>
  <c r="FJ59" i="12" s="1"/>
  <c r="FJ60" i="12" s="1"/>
  <c r="DZ28" i="12"/>
  <c r="EI28" i="12"/>
  <c r="EJ28" i="12" s="1"/>
  <c r="DP28" i="12" s="1"/>
  <c r="DQ28" i="12" s="1"/>
  <c r="CK28" i="12"/>
  <c r="CU28" i="12" s="1"/>
  <c r="CV28" i="12" s="1"/>
  <c r="DY21" i="1"/>
  <c r="DR19" i="1"/>
  <c r="EL28" i="10"/>
  <c r="EL27" i="10"/>
  <c r="DK26" i="10"/>
  <c r="DR26" i="10"/>
  <c r="DS26" i="10" s="1"/>
  <c r="DK19" i="1"/>
  <c r="CV19" i="1"/>
  <c r="BC29" i="13" l="1"/>
  <c r="BC30" i="13" s="1"/>
  <c r="BF29" i="13"/>
  <c r="AA25" i="13" s="1"/>
  <c r="DK28" i="13"/>
  <c r="DO28" i="13" s="1"/>
  <c r="CU28" i="13"/>
  <c r="DL28" i="12"/>
  <c r="DN28" i="12" s="1"/>
  <c r="DR28" i="12" s="1"/>
  <c r="CW28" i="12"/>
  <c r="BW28" i="12" s="1"/>
  <c r="EB21" i="1"/>
  <c r="DS19" i="1"/>
  <c r="DF20" i="1" s="1"/>
  <c r="G45" i="11"/>
  <c r="DF27" i="10"/>
  <c r="DT26" i="10"/>
  <c r="BC26" i="10" s="1"/>
  <c r="BW19" i="1"/>
  <c r="BF19" i="1"/>
  <c r="DQ28" i="13" l="1"/>
  <c r="DR28" i="13" s="1"/>
  <c r="DJ28" i="13"/>
  <c r="CX28" i="12"/>
  <c r="DT28" i="12"/>
  <c r="DU28" i="12" s="1"/>
  <c r="DM28" i="12"/>
  <c r="DT19" i="1"/>
  <c r="BC19" i="1" s="1"/>
  <c r="DG20" i="1"/>
  <c r="DH20" i="1" s="1"/>
  <c r="E45" i="11"/>
  <c r="DG27" i="10"/>
  <c r="DH27" i="10" s="1"/>
  <c r="DV27" i="10"/>
  <c r="DW27" i="10" s="1"/>
  <c r="DZ27" i="10" s="1"/>
  <c r="CC27" i="10"/>
  <c r="DA27" i="10"/>
  <c r="DB27" i="10" s="1"/>
  <c r="DD27" i="10" s="1"/>
  <c r="CC20" i="1"/>
  <c r="DA20" i="1"/>
  <c r="DB20" i="1" s="1"/>
  <c r="DD20" i="1" s="1"/>
  <c r="C45" i="11" s="1"/>
  <c r="DV20" i="1"/>
  <c r="DW20" i="1" s="1"/>
  <c r="BB20" i="1"/>
  <c r="DE29" i="13" l="1"/>
  <c r="DS28" i="13"/>
  <c r="BB28" i="13" s="1"/>
  <c r="DH29" i="12"/>
  <c r="DV28" i="12"/>
  <c r="S23" i="1"/>
  <c r="F45" i="11"/>
  <c r="H45" i="11" s="1"/>
  <c r="DI20" i="1"/>
  <c r="EJ20" i="1" s="1"/>
  <c r="EZ49" i="1" s="1"/>
  <c r="FA49" i="1" s="1"/>
  <c r="FB49" i="1" s="1"/>
  <c r="FC49" i="1" s="1"/>
  <c r="FD49" i="1" s="1"/>
  <c r="FE49" i="1" s="1"/>
  <c r="DE27" i="10"/>
  <c r="EB27" i="10"/>
  <c r="EG27" i="10"/>
  <c r="EH27" i="10" s="1"/>
  <c r="DN27" i="10" s="1"/>
  <c r="DO27" i="10" s="1"/>
  <c r="DX27" i="10"/>
  <c r="CI27" i="10"/>
  <c r="CS27" i="10" s="1"/>
  <c r="CT27" i="10" s="1"/>
  <c r="I45" i="7"/>
  <c r="DX20" i="1"/>
  <c r="BE20" i="1" s="1"/>
  <c r="EG20" i="1"/>
  <c r="EH20" i="1" s="1"/>
  <c r="DN20" i="1" s="1"/>
  <c r="DO20" i="1" s="1"/>
  <c r="BG21" i="1"/>
  <c r="T25" i="1" s="1"/>
  <c r="BD21" i="1"/>
  <c r="T24" i="1" s="1"/>
  <c r="CI20" i="1"/>
  <c r="CJ20" i="1" s="1"/>
  <c r="CK20" i="1" s="1"/>
  <c r="CZ29" i="13" l="1"/>
  <c r="DA29" i="13" s="1"/>
  <c r="DC29" i="13" s="1"/>
  <c r="DF29" i="13"/>
  <c r="CB29" i="13"/>
  <c r="DU29" i="13"/>
  <c r="DV29" i="13" s="1"/>
  <c r="BA29" i="13"/>
  <c r="DX29" i="12"/>
  <c r="DY29" i="12" s="1"/>
  <c r="DI29" i="12"/>
  <c r="DJ29" i="12" s="1"/>
  <c r="CE29" i="12"/>
  <c r="DC29" i="12"/>
  <c r="DD29" i="12" s="1"/>
  <c r="DF29" i="12" s="1"/>
  <c r="CL20" i="1"/>
  <c r="BD27" i="10"/>
  <c r="BE27" i="10"/>
  <c r="BG27" i="10"/>
  <c r="Z24" i="10" s="1"/>
  <c r="BF27" i="10"/>
  <c r="BB27" i="10"/>
  <c r="EJ27" i="10"/>
  <c r="FH56" i="10" s="1"/>
  <c r="FH58" i="10" s="1"/>
  <c r="FH59" i="10" s="1"/>
  <c r="DJ27" i="10"/>
  <c r="EZ59" i="1"/>
  <c r="EZ60" i="1" s="1"/>
  <c r="EL21" i="1" s="1"/>
  <c r="DJ20" i="1"/>
  <c r="DL20" i="1" s="1"/>
  <c r="DP20" i="1" s="1"/>
  <c r="FF49" i="1"/>
  <c r="FG49" i="1" s="1"/>
  <c r="FH49" i="1" s="1"/>
  <c r="FE58" i="1"/>
  <c r="EK25" i="1" s="1"/>
  <c r="CS20" i="1"/>
  <c r="CT20" i="1" s="1"/>
  <c r="CU20" i="1" s="1"/>
  <c r="DY22" i="1" s="1"/>
  <c r="CU27" i="10"/>
  <c r="DG29" i="13" l="1"/>
  <c r="DH29" i="13" s="1"/>
  <c r="DW29" i="13"/>
  <c r="BD29" i="13" s="1"/>
  <c r="EF29" i="13"/>
  <c r="EG29" i="13" s="1"/>
  <c r="DM29" i="13" s="1"/>
  <c r="CH29" i="13"/>
  <c r="CR29" i="13" s="1"/>
  <c r="CS29" i="13" s="1"/>
  <c r="AA23" i="13"/>
  <c r="BA30" i="13"/>
  <c r="CK29" i="12"/>
  <c r="CU29" i="12" s="1"/>
  <c r="CV29" i="12" s="1"/>
  <c r="DK29" i="12"/>
  <c r="DZ29" i="12"/>
  <c r="EI29" i="12"/>
  <c r="EJ29" i="12" s="1"/>
  <c r="DP29" i="12" s="1"/>
  <c r="EB22" i="1"/>
  <c r="DR20" i="1"/>
  <c r="BW27" i="10"/>
  <c r="Z22" i="10"/>
  <c r="DL27" i="10"/>
  <c r="DP27" i="10" s="1"/>
  <c r="CV27" i="10"/>
  <c r="DK20" i="1"/>
  <c r="EI29" i="13" l="1"/>
  <c r="DI29" i="13"/>
  <c r="DK29" i="13" s="1"/>
  <c r="CT29" i="13"/>
  <c r="CU29" i="13" s="1"/>
  <c r="DN29" i="13"/>
  <c r="DM30" i="13"/>
  <c r="DN30" i="13" s="1"/>
  <c r="CW29" i="12"/>
  <c r="DQ29" i="12"/>
  <c r="DP30" i="12"/>
  <c r="DQ30" i="12" s="1"/>
  <c r="EL29" i="12"/>
  <c r="DL29" i="12"/>
  <c r="DS20" i="1"/>
  <c r="DF21" i="1" s="1"/>
  <c r="G46" i="11"/>
  <c r="DR27" i="10"/>
  <c r="DS27" i="10" s="1"/>
  <c r="DK27" i="10"/>
  <c r="BW20" i="1"/>
  <c r="BF20" i="1"/>
  <c r="CV20" i="1"/>
  <c r="DO29" i="13" l="1"/>
  <c r="DR29" i="13" s="1"/>
  <c r="DS29" i="13" s="1"/>
  <c r="BB29" i="13" s="1"/>
  <c r="DJ29" i="13"/>
  <c r="BV29" i="13"/>
  <c r="CT30" i="13"/>
  <c r="BE29" i="13"/>
  <c r="DN29" i="12"/>
  <c r="DR29" i="12" s="1"/>
  <c r="DU29" i="12" s="1"/>
  <c r="DV29" i="12" s="1"/>
  <c r="BW29" i="12"/>
  <c r="CW30" i="12"/>
  <c r="CX29" i="12"/>
  <c r="DT20" i="1"/>
  <c r="BC20" i="1" s="1"/>
  <c r="DG21" i="1"/>
  <c r="DH21" i="1" s="1"/>
  <c r="E46" i="11"/>
  <c r="DF28" i="10"/>
  <c r="BB28" i="10" s="1"/>
  <c r="DT27" i="10"/>
  <c r="BC27" i="10" s="1"/>
  <c r="CC21" i="1"/>
  <c r="DV21" i="1"/>
  <c r="DW21" i="1" s="1"/>
  <c r="DA21" i="1"/>
  <c r="DB21" i="1" s="1"/>
  <c r="DD21" i="1" s="1"/>
  <c r="C46" i="11" s="1"/>
  <c r="BB21" i="1"/>
  <c r="DM29" i="12" l="1"/>
  <c r="T23" i="1"/>
  <c r="F46" i="11"/>
  <c r="H46" i="11" s="1"/>
  <c r="DI21" i="1"/>
  <c r="AA22" i="10"/>
  <c r="BB29" i="10"/>
  <c r="DA28" i="10"/>
  <c r="DB28" i="10" s="1"/>
  <c r="DD28" i="10" s="1"/>
  <c r="DV28" i="10"/>
  <c r="DW28" i="10" s="1"/>
  <c r="DZ28" i="10" s="1"/>
  <c r="EB28" i="10" s="1"/>
  <c r="CC28" i="10"/>
  <c r="DG28" i="10"/>
  <c r="DH28" i="10" s="1"/>
  <c r="I46" i="7"/>
  <c r="CI21" i="1"/>
  <c r="CJ21" i="1" s="1"/>
  <c r="CK21" i="1" s="1"/>
  <c r="DX21" i="1"/>
  <c r="EG21" i="1"/>
  <c r="EH21" i="1" s="1"/>
  <c r="DN21" i="1" s="1"/>
  <c r="DO21" i="1" s="1"/>
  <c r="BD22" i="1"/>
  <c r="U24" i="1" s="1"/>
  <c r="BG22" i="1"/>
  <c r="U25" i="1" s="1"/>
  <c r="CL21" i="1" l="1"/>
  <c r="DE28" i="10"/>
  <c r="BG28" i="10"/>
  <c r="AA24" i="10" s="1"/>
  <c r="BD28" i="10"/>
  <c r="BD29" i="10" s="1"/>
  <c r="BF28" i="10"/>
  <c r="CI28" i="10"/>
  <c r="CS28" i="10" s="1"/>
  <c r="CT28" i="10" s="1"/>
  <c r="DX28" i="10"/>
  <c r="BE28" i="10" s="1"/>
  <c r="EG28" i="10"/>
  <c r="EH28" i="10" s="1"/>
  <c r="DN28" i="10" s="1"/>
  <c r="BE21" i="1"/>
  <c r="CS21" i="1"/>
  <c r="CT21" i="1" s="1"/>
  <c r="CU21" i="1" s="1"/>
  <c r="DY23" i="1" s="1"/>
  <c r="EJ21" i="1"/>
  <c r="FA50" i="1" s="1"/>
  <c r="DJ21" i="1"/>
  <c r="EB23" i="1" l="1"/>
  <c r="DO28" i="10"/>
  <c r="DN29" i="10"/>
  <c r="DO29" i="10" s="1"/>
  <c r="EJ28" i="10"/>
  <c r="DJ28" i="10"/>
  <c r="FB50" i="1"/>
  <c r="FC50" i="1" s="1"/>
  <c r="FD50" i="1" s="1"/>
  <c r="FE50" i="1" s="1"/>
  <c r="FF50" i="1" s="1"/>
  <c r="FA59" i="1"/>
  <c r="FA60" i="1" s="1"/>
  <c r="EL22" i="1" s="1"/>
  <c r="DL21" i="1"/>
  <c r="DP21" i="1" s="1"/>
  <c r="BW21" i="1"/>
  <c r="BF21" i="1"/>
  <c r="CV21" i="1"/>
  <c r="CU28" i="10"/>
  <c r="DR21" i="1" l="1"/>
  <c r="DL28" i="10"/>
  <c r="DP28" i="10" s="1"/>
  <c r="DS28" i="10" s="1"/>
  <c r="DT28" i="10" s="1"/>
  <c r="BC28" i="10" s="1"/>
  <c r="BW28" i="10"/>
  <c r="CU29" i="10"/>
  <c r="CV28" i="10"/>
  <c r="DK21" i="1"/>
  <c r="FG50" i="1"/>
  <c r="FH50" i="1" s="1"/>
  <c r="FF58" i="1"/>
  <c r="EK26" i="1" s="1"/>
  <c r="DS21" i="1" l="1"/>
  <c r="DF22" i="1" s="1"/>
  <c r="G47" i="11"/>
  <c r="DK28" i="10"/>
  <c r="BG23" i="1"/>
  <c r="V25" i="1" s="1"/>
  <c r="BD23" i="1"/>
  <c r="V24" i="1" s="1"/>
  <c r="DG22" i="1" l="1"/>
  <c r="DH22" i="1" s="1"/>
  <c r="E47" i="11"/>
  <c r="DT21" i="1"/>
  <c r="BC21" i="1" s="1"/>
  <c r="DV22" i="1"/>
  <c r="DW22" i="1" s="1"/>
  <c r="CC22" i="1"/>
  <c r="DA22" i="1"/>
  <c r="DB22" i="1" s="1"/>
  <c r="DD22" i="1" s="1"/>
  <c r="C47" i="11" s="1"/>
  <c r="BB22" i="1"/>
  <c r="U23" i="1" l="1"/>
  <c r="AZ56" i="1"/>
  <c r="F47" i="11"/>
  <c r="H47" i="11" s="1"/>
  <c r="DI22" i="1"/>
  <c r="I47" i="7"/>
  <c r="CI22" i="1"/>
  <c r="CJ22" i="1" s="1"/>
  <c r="CK22" i="1" s="1"/>
  <c r="AX25" i="1"/>
  <c r="DX22" i="1"/>
  <c r="EG22" i="1"/>
  <c r="EH22" i="1" s="1"/>
  <c r="DN22" i="1" s="1"/>
  <c r="DO22" i="1" s="1"/>
  <c r="EA28" i="1" l="1"/>
  <c r="EA24" i="1"/>
  <c r="EA27" i="1"/>
  <c r="EA26" i="1"/>
  <c r="EA29" i="1"/>
  <c r="EA25" i="1"/>
  <c r="CL22" i="1"/>
  <c r="BE22" i="1"/>
  <c r="CS22" i="1"/>
  <c r="CT22" i="1" s="1"/>
  <c r="CU22" i="1" s="1"/>
  <c r="DY24" i="1" s="1"/>
  <c r="EJ22" i="1"/>
  <c r="FB51" i="1" s="1"/>
  <c r="DJ22" i="1"/>
  <c r="EB24" i="1" l="1"/>
  <c r="DL22" i="1"/>
  <c r="DP22" i="1" s="1"/>
  <c r="FC51" i="1"/>
  <c r="FD51" i="1" s="1"/>
  <c r="FE51" i="1" s="1"/>
  <c r="FF51" i="1" s="1"/>
  <c r="FG51" i="1" s="1"/>
  <c r="FB59" i="1"/>
  <c r="FB60" i="1" s="1"/>
  <c r="EL23" i="1" s="1"/>
  <c r="DR22" i="1" l="1"/>
  <c r="FH51" i="1"/>
  <c r="FG58" i="1"/>
  <c r="EK27" i="1" s="1"/>
  <c r="BW22" i="1"/>
  <c r="BF22" i="1"/>
  <c r="CV22" i="1"/>
  <c r="DK22" i="1"/>
  <c r="DS22" i="1" l="1"/>
  <c r="DF23" i="1" s="1"/>
  <c r="G48" i="11"/>
  <c r="DG23" i="1" l="1"/>
  <c r="DH23" i="1" s="1"/>
  <c r="E48" i="11"/>
  <c r="DT22" i="1"/>
  <c r="BC22" i="1" s="1"/>
  <c r="DV23" i="1"/>
  <c r="DW23" i="1" s="1"/>
  <c r="CC23" i="1"/>
  <c r="DA23" i="1"/>
  <c r="DB23" i="1" s="1"/>
  <c r="DD23" i="1" s="1"/>
  <c r="C48" i="11" s="1"/>
  <c r="BB23" i="1"/>
  <c r="V23" i="1" l="1"/>
  <c r="F48" i="11"/>
  <c r="H48" i="11" s="1"/>
  <c r="DI23" i="1"/>
  <c r="I48" i="7"/>
  <c r="CI23" i="1"/>
  <c r="CS23" i="1" s="1"/>
  <c r="CT23" i="1" s="1"/>
  <c r="CU23" i="1" s="1"/>
  <c r="DY25" i="1" s="1"/>
  <c r="DX23" i="1"/>
  <c r="EG23" i="1"/>
  <c r="EH23" i="1" s="1"/>
  <c r="DN23" i="1" s="1"/>
  <c r="DO23" i="1" s="1"/>
  <c r="BE23" i="1" l="1"/>
  <c r="EJ23" i="1"/>
  <c r="FC52" i="1" s="1"/>
  <c r="DJ23" i="1"/>
  <c r="FD52" i="1" l="1"/>
  <c r="FE52" i="1" s="1"/>
  <c r="FF52" i="1" s="1"/>
  <c r="FG52" i="1" s="1"/>
  <c r="FH52" i="1" s="1"/>
  <c r="FH58" i="1" s="1"/>
  <c r="FC59" i="1"/>
  <c r="FC60" i="1" s="1"/>
  <c r="EL24" i="1" s="1"/>
  <c r="DL23" i="1"/>
  <c r="DP23" i="1" s="1"/>
  <c r="BW23" i="1"/>
  <c r="BF23" i="1"/>
  <c r="CV23" i="1"/>
  <c r="DR23" i="1" l="1"/>
  <c r="DK23" i="1"/>
  <c r="EK28" i="1"/>
  <c r="EK29" i="1"/>
  <c r="DS23" i="1" l="1"/>
  <c r="DF24" i="1" s="1"/>
  <c r="G49" i="11"/>
  <c r="DG24" i="1" l="1"/>
  <c r="DH24" i="1" s="1"/>
  <c r="E49" i="11"/>
  <c r="DT23" i="1"/>
  <c r="BC23" i="1" s="1"/>
  <c r="DV24" i="1"/>
  <c r="DW24" i="1" s="1"/>
  <c r="CC24" i="1"/>
  <c r="DA24" i="1"/>
  <c r="DB24" i="1" s="1"/>
  <c r="DD24" i="1" s="1"/>
  <c r="C49" i="11" s="1"/>
  <c r="DI24" i="1" l="1"/>
  <c r="BG24" i="1"/>
  <c r="W25" i="1" s="1"/>
  <c r="BD24" i="1"/>
  <c r="W24" i="1" s="1"/>
  <c r="BB24" i="1"/>
  <c r="CI24" i="1"/>
  <c r="CS24" i="1" s="1"/>
  <c r="CT24" i="1" s="1"/>
  <c r="CU24" i="1" s="1"/>
  <c r="DY26" i="1" s="1"/>
  <c r="DX24" i="1"/>
  <c r="DZ25" i="1" s="1"/>
  <c r="EB25" i="1" s="1"/>
  <c r="BD25" i="1" s="1"/>
  <c r="EG24" i="1"/>
  <c r="EH24" i="1" s="1"/>
  <c r="DN24" i="1" s="1"/>
  <c r="DO24" i="1" s="1"/>
  <c r="BE24" i="1" l="1"/>
  <c r="W23" i="1"/>
  <c r="F49" i="11"/>
  <c r="H49" i="11" s="1"/>
  <c r="I49" i="7"/>
  <c r="EJ24" i="1"/>
  <c r="FD53" i="1" s="1"/>
  <c r="DJ24" i="1"/>
  <c r="BW24" i="1" l="1"/>
  <c r="BF24" i="1"/>
  <c r="FE53" i="1"/>
  <c r="FF53" i="1" s="1"/>
  <c r="FG53" i="1" s="1"/>
  <c r="FH53" i="1" s="1"/>
  <c r="FD59" i="1"/>
  <c r="FD60" i="1" s="1"/>
  <c r="EL25" i="1" s="1"/>
  <c r="CV24" i="1"/>
  <c r="DL24" i="1"/>
  <c r="DP24" i="1" s="1"/>
  <c r="DR24" i="1" l="1"/>
  <c r="DK24" i="1"/>
  <c r="DS24" i="1" l="1"/>
  <c r="DF25" i="1" s="1"/>
  <c r="G50" i="11"/>
  <c r="DG25" i="1" l="1"/>
  <c r="DH25" i="1" s="1"/>
  <c r="E50" i="11"/>
  <c r="DT24" i="1"/>
  <c r="BC24" i="1" s="1"/>
  <c r="DA25" i="1"/>
  <c r="DB25" i="1" s="1"/>
  <c r="DD25" i="1" s="1"/>
  <c r="C50" i="11" s="1"/>
  <c r="DV25" i="1"/>
  <c r="DW25" i="1" s="1"/>
  <c r="CC25" i="1"/>
  <c r="DI25" i="1" l="1"/>
  <c r="EJ25" i="1" s="1"/>
  <c r="FE54" i="1" s="1"/>
  <c r="FF54" i="1" s="1"/>
  <c r="FG54" i="1" s="1"/>
  <c r="FH54" i="1" s="1"/>
  <c r="CI25" i="1"/>
  <c r="CS25" i="1" s="1"/>
  <c r="CT25" i="1" s="1"/>
  <c r="CU25" i="1" s="1"/>
  <c r="DY27" i="1" s="1"/>
  <c r="DX25" i="1"/>
  <c r="DZ26" i="1" s="1"/>
  <c r="EG25" i="1"/>
  <c r="EH25" i="1" s="1"/>
  <c r="DN25" i="1" s="1"/>
  <c r="DO25" i="1" s="1"/>
  <c r="EB26" i="1" l="1"/>
  <c r="FE59" i="1"/>
  <c r="FE60" i="1" s="1"/>
  <c r="EL26" i="1" s="1"/>
  <c r="DJ25" i="1"/>
  <c r="DL25" i="1" s="1"/>
  <c r="DP25" i="1" s="1"/>
  <c r="DR25" i="1" l="1"/>
  <c r="BW25" i="1"/>
  <c r="CV25" i="1"/>
  <c r="BE25" i="1"/>
  <c r="X24" i="1"/>
  <c r="BB25" i="1"/>
  <c r="BG25" i="1"/>
  <c r="X25" i="1" s="1"/>
  <c r="BF25" i="1"/>
  <c r="DK25" i="1"/>
  <c r="DS25" i="1" l="1"/>
  <c r="DF26" i="1" s="1"/>
  <c r="G51" i="11"/>
  <c r="X23" i="1"/>
  <c r="F50" i="11"/>
  <c r="H50" i="11" s="1"/>
  <c r="I50" i="7"/>
  <c r="DG26" i="1" l="1"/>
  <c r="DH26" i="1" s="1"/>
  <c r="E51" i="11"/>
  <c r="DT25" i="1"/>
  <c r="BC25" i="1" s="1"/>
  <c r="CC26" i="1"/>
  <c r="DV26" i="1"/>
  <c r="DW26" i="1" s="1"/>
  <c r="DA26" i="1"/>
  <c r="DB26" i="1" s="1"/>
  <c r="DD26" i="1" s="1"/>
  <c r="C51" i="11" s="1"/>
  <c r="DI26" i="1" l="1"/>
  <c r="EG26" i="1"/>
  <c r="EH26" i="1" s="1"/>
  <c r="DN26" i="1" s="1"/>
  <c r="DO26" i="1" s="1"/>
  <c r="DX26" i="1"/>
  <c r="DZ27" i="1" s="1"/>
  <c r="EB27" i="1" s="1"/>
  <c r="CI26" i="1"/>
  <c r="CS26" i="1" s="1"/>
  <c r="CT26" i="1" s="1"/>
  <c r="CU26" i="1" s="1"/>
  <c r="DY28" i="1" s="1"/>
  <c r="BE26" i="1" l="1"/>
  <c r="BG26" i="1"/>
  <c r="Y25" i="1" s="1"/>
  <c r="BD26" i="1"/>
  <c r="Y24" i="1" s="1"/>
  <c r="BB26" i="1"/>
  <c r="BF26" i="1"/>
  <c r="EJ26" i="1"/>
  <c r="FF55" i="1" s="1"/>
  <c r="DJ26" i="1"/>
  <c r="Y23" i="1" l="1"/>
  <c r="F51" i="11"/>
  <c r="H51" i="11" s="1"/>
  <c r="I51" i="7"/>
  <c r="BW26" i="1"/>
  <c r="FG55" i="1"/>
  <c r="FH55" i="1" s="1"/>
  <c r="FF59" i="1"/>
  <c r="FF60" i="1" s="1"/>
  <c r="EL27" i="1" s="1"/>
  <c r="DL26" i="1"/>
  <c r="DP26" i="1" s="1"/>
  <c r="CV26" i="1"/>
  <c r="DR26" i="1" l="1"/>
  <c r="DK26" i="1"/>
  <c r="DS26" i="1" l="1"/>
  <c r="DF27" i="1" s="1"/>
  <c r="G52" i="11"/>
  <c r="DG27" i="1" l="1"/>
  <c r="DH27" i="1" s="1"/>
  <c r="E52" i="11"/>
  <c r="DT26" i="1"/>
  <c r="BC26" i="1" s="1"/>
  <c r="DV27" i="1"/>
  <c r="DW27" i="1" s="1"/>
  <c r="CC27" i="1"/>
  <c r="DA27" i="1"/>
  <c r="DB27" i="1" s="1"/>
  <c r="DD27" i="1" s="1"/>
  <c r="C52" i="11" s="1"/>
  <c r="DI27" i="1" l="1"/>
  <c r="CI27" i="1"/>
  <c r="CS27" i="1" s="1"/>
  <c r="CT27" i="1" s="1"/>
  <c r="CU27" i="1" s="1"/>
  <c r="DY29" i="1" s="1"/>
  <c r="DX27" i="1"/>
  <c r="DZ28" i="1" s="1"/>
  <c r="EG27" i="1"/>
  <c r="EH27" i="1" s="1"/>
  <c r="DN27" i="1" s="1"/>
  <c r="DO27" i="1" s="1"/>
  <c r="EB28" i="1" l="1"/>
  <c r="BG27" i="1"/>
  <c r="Z25" i="1" s="1"/>
  <c r="BD27" i="1"/>
  <c r="Z24" i="1" s="1"/>
  <c r="AA24" i="1" s="1"/>
  <c r="BE27" i="1"/>
  <c r="BB27" i="1"/>
  <c r="BF27" i="1"/>
  <c r="EJ27" i="1"/>
  <c r="FG56" i="1" s="1"/>
  <c r="DJ27" i="1"/>
  <c r="Z23" i="1" l="1"/>
  <c r="F52" i="11"/>
  <c r="H52" i="11" s="1"/>
  <c r="BW27" i="1"/>
  <c r="I52" i="7"/>
  <c r="DL27" i="1"/>
  <c r="DP27" i="1" s="1"/>
  <c r="FH56" i="1"/>
  <c r="FG59" i="1"/>
  <c r="FG60" i="1" s="1"/>
  <c r="CV27" i="1"/>
  <c r="EL29" i="1" l="1"/>
  <c r="EL28" i="1"/>
  <c r="DR27" i="1"/>
  <c r="DK27" i="1"/>
  <c r="DS27" i="1" l="1"/>
  <c r="DF28" i="1" s="1"/>
  <c r="G53" i="11"/>
  <c r="DG28" i="1" l="1"/>
  <c r="DH28" i="1" s="1"/>
  <c r="E53" i="11"/>
  <c r="DT27" i="1"/>
  <c r="BC27" i="1" s="1"/>
  <c r="DA28" i="1"/>
  <c r="DB28" i="1" s="1"/>
  <c r="DD28" i="1" s="1"/>
  <c r="C53" i="11" s="1"/>
  <c r="DV28" i="1"/>
  <c r="DW28" i="1" s="1"/>
  <c r="CC28" i="1"/>
  <c r="DI28" i="1" l="1"/>
  <c r="EJ28" i="1" s="1"/>
  <c r="FH57" i="1" s="1"/>
  <c r="FH59" i="1" s="1"/>
  <c r="FH60" i="1" s="1"/>
  <c r="CI28" i="1"/>
  <c r="CS28" i="1" s="1"/>
  <c r="CT28" i="1" s="1"/>
  <c r="CU28" i="1" s="1"/>
  <c r="DX28" i="1"/>
  <c r="DZ29" i="1" s="1"/>
  <c r="EB29" i="1" s="1"/>
  <c r="EG28" i="1"/>
  <c r="EH28" i="1" s="1"/>
  <c r="DN28" i="1" s="1"/>
  <c r="DO28" i="1" s="1"/>
  <c r="BE28" i="1" l="1"/>
  <c r="BB28" i="1"/>
  <c r="BD28" i="1"/>
  <c r="BG28" i="1"/>
  <c r="AA25" i="1" s="1"/>
  <c r="DJ28" i="1"/>
  <c r="DL28" i="1" s="1"/>
  <c r="DP28" i="1" s="1"/>
  <c r="BW28" i="1"/>
  <c r="AA23" i="1" l="1"/>
  <c r="F53" i="11"/>
  <c r="H53" i="11" s="1"/>
  <c r="DR28" i="1"/>
  <c r="BF28" i="1"/>
  <c r="I53" i="7"/>
  <c r="DK28" i="1"/>
  <c r="CV28" i="1"/>
  <c r="DS28" i="1" l="1"/>
  <c r="DF29" i="1" s="1"/>
  <c r="BB29" i="1" s="1"/>
  <c r="G54" i="11"/>
  <c r="DG29" i="1" l="1"/>
  <c r="DH29" i="1" s="1"/>
  <c r="E54" i="11"/>
  <c r="DT28" i="1"/>
  <c r="BC28" i="1" s="1"/>
  <c r="AB23" i="1"/>
  <c r="F54" i="11"/>
  <c r="H54" i="11" s="1"/>
  <c r="I54" i="7"/>
  <c r="BB30" i="1"/>
  <c r="CC29" i="1"/>
  <c r="DA29" i="1"/>
  <c r="DB29" i="1" s="1"/>
  <c r="DD29" i="1" s="1"/>
  <c r="C54" i="11" s="1"/>
  <c r="DV29" i="1"/>
  <c r="DW29" i="1" s="1"/>
  <c r="DI29" i="1" l="1"/>
  <c r="BD29" i="1"/>
  <c r="BG29" i="1"/>
  <c r="AB25" i="1" s="1"/>
  <c r="CI29" i="1"/>
  <c r="CS29" i="1" s="1"/>
  <c r="CT29" i="1" s="1"/>
  <c r="CU29" i="1" s="1"/>
  <c r="DX29" i="1"/>
  <c r="BE29" i="1" s="1"/>
  <c r="EG29" i="1"/>
  <c r="EH29" i="1" s="1"/>
  <c r="DN29" i="1" s="1"/>
  <c r="DO29" i="1" s="1"/>
  <c r="BD30" i="1" l="1"/>
  <c r="BF29" i="1"/>
  <c r="DN30" i="1"/>
  <c r="DO30" i="1" s="1"/>
  <c r="EJ29" i="1"/>
  <c r="DJ29" i="1"/>
  <c r="DL29" i="1" l="1"/>
  <c r="DP29" i="1" s="1"/>
  <c r="BW29" i="1"/>
  <c r="CU30" i="1"/>
  <c r="CV29" i="1"/>
  <c r="DK29" i="1" l="1"/>
  <c r="DS29" i="1" l="1"/>
  <c r="DT29" i="1" s="1"/>
  <c r="BC2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Randy Oliver</author>
  </authors>
  <commentList>
    <comment ref="BF3" authorId="0" shapeId="0" xr:uid="{00000000-0006-0000-0000-000001000000}">
      <text>
        <t xml:space="preserve">Randy Oliver :
Lorsque je compare les données de terrain de colonies d’un même rucher, je constate des valeurs très éloignées de la tendance générale pour l’accroissement des varroas. Interprétez donc le modèle comme présentant des nombres médians de varroas, et non des moyennes.</t>
      </text>
    </comment>
    <comment ref="BR3" authorId="0" shapeId="0" xr:uid="{00000000-0006-0000-0000-000002000000}">
      <text>
        <t xml:space="preserve">Randy Oliver :
Nombre de cadres × AK44</t>
      </text>
    </comment>
    <comment ref="BT3" authorId="0" shapeId="0" xr:uid="{00000000-0006-0000-0000-000003000000}">
      <text>
        <t xml:space="preserve">Randy Oliver :
Nombre de cadres × AK43
</t>
      </text>
    </comment>
    <comment ref="BW3" authorId="0" shapeId="0" xr:uid="{00000000-0006-0000-0000-000004000000}">
      <text>
        <t xml:space="preserve">Randy Oliver :
BN6*AP6</t>
      </text>
    </comment>
    <comment ref="BY3" authorId="0" shapeId="0" xr:uid="{00000000-0006-0000-0000-000005000000}">
      <text>
        <t xml:space="preserve">Randy Oliver :
J’ai extrapolé les valeurs de Boot et constaté qu’elles s’ajustent à une fonction logarithmique.
Voir les calculs à partir de la cellule AU86.
Pour cette version, l’hypothèse fondamentale est que les fondatrices envahissent les cellules selon la relation y=-5*ln(x)+5, où x est le rapport couvain / abeilles adultes et y le nombre de jours de phorésie.
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
</t>
      </text>
    </comment>
    <comment ref="BZ3" authorId="0" shapeId="0" xr:uid="{00000000-0006-0000-0000-000006000000}">
      <text>
        <t xml:space="preserve">Randy Oliver :
Ce calcul est au cœur du modèle, car il permet de calculer à la fois le taux logarithmique quotidien r et le pourcentage de varroas phorétiques pendant la période indiquée.</t>
      </text>
    </comment>
    <comment ref="CD3" authorId="0" shapeId="0" xr:uid="{00000000-0006-0000-0000-000007000000}">
      <text>
        <t xml:space="preserve">Randy Oliver :
Hypothèse : 12 jours sous opercule ; 20 jours au total.</t>
      </text>
    </comment>
    <comment ref="CF3" authorId="0" shapeId="0" xr:uid="{00000000-0006-0000-0000-000008000000}">
      <text>
        <t xml:space="preserve">Randy Oliver :
Le pourcentage de cellules de mâles mesuré en surface surestime leur nombre réel, car une surface d’environ 6,45 cm² (1 pouce carré dans l’original) contient approximativement 25 cellules d’ouvrières, mais seulement environ 16 cellules de mâles.</t>
      </text>
    </comment>
    <comment ref="CK3" authorId="0" shapeId="0" xr:uid="{00000000-0006-0000-0000-000009000000}">
      <text>
        <t xml:space="preserve">Randy Oliver :
Estimation obtenue en retranchant le pourcentage de cellules ne contenant aucun varroa, sur la base de la loi de Poisson.</t>
      </text>
    </comment>
    <comment ref="CL3" authorId="0" shapeId="0" xr:uid="{00000000-0006-0000-0000-00000A000000}">
      <text>
        <t xml:space="preserve">Randy Oliver :
Voir le commentaire de la colonne BS.</t>
      </text>
    </comment>
    <comment ref="CM3" authorId="0" shapeId="0" xr:uid="{00000000-0006-0000-0000-00000B000000}">
      <text>
        <t xml:space="preserve">Randy Oliver :
Suppose 15 jours dans le couvain</t>
      </text>
    </comment>
    <comment ref="CN3" authorId="0" shapeId="0" xr:uid="{00000000-0006-0000-0000-00000C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CU3" authorId="0" shapeId="0" xr:uid="{00000000-0006-0000-0000-00000D000000}">
      <text>
        <t xml:space="preserve">Randy Oliver :
Estimation obtenue en retranchant le pourcentage de cellules ne contenant aucun varroa, sur la base de la loi de Poisson.</t>
      </text>
    </comment>
    <comment ref="CV3" authorId="0" shapeId="0" xr:uid="{00000000-0006-0000-0000-00000E000000}">
      <text>
        <t xml:space="preserve">Randy Oliver :
Voir le commentaire de la colonne BS.</t>
      </text>
    </comment>
    <comment ref="CY3" authorId="0" shapeId="0" xr:uid="{00000000-0006-0000-0000-00000F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DB3" authorId="0" shapeId="0" xr:uid="{00000000-0006-0000-0000-000010000000}">
      <text>
        <t xml:space="preserve">Randy Oliver :
Taux reproductif potentiel théorique, fondé sur le pourcentage de varroas dans le couvain de mâles × la reproduction dans ce couvain, plus le même calcul pour le couvain d’ouvrières. Le pourcentage de femelles fécondées et la mortalité des fondatrices sont calculés ailleurs.</t>
      </text>
    </comment>
    <comment ref="DC3" authorId="0" shapeId="0" xr:uid="{00000000-0006-0000-0000-000011000000}">
      <text>
        <t xml:space="preserve">Randy Oliver :
Ce calcul prend en compte la mortalité des fondatrices. Voir le calcul en AJ79</t>
      </text>
    </comment>
    <comment ref="DD3" authorId="0" shapeId="0" xr:uid="{00000000-0006-0000-0000-000012000000}">
      <text>
        <t xml:space="preserve">Randy Oliver :
Cette figure montre les moments les plus efficaces pour réduire la reproduction des varroas.</t>
      </text>
    </comment>
    <comment ref="DG3" authorId="0" shapeId="0" xr:uid="{00000000-0006-0000-0000-000013000000}">
      <text>
        <t xml:space="preserve">Randy Oliver :
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t>
      </text>
    </comment>
    <comment ref="DH3" authorId="0" shapeId="0" xr:uid="{00000000-0006-0000-0000-000014000000}">
      <text>
        <t xml:space="preserve">Randy Oliver :
Voir le commentaire associé au calcul à droite</t>
      </text>
    </comment>
    <comment ref="DI3" authorId="0" shapeId="0" xr:uid="{00000000-0006-0000-0000-000015000000}">
      <text>
        <t xml:space="preserve">Randy Oliver :
Fondé sur le nombre de varroas potentiellement féconds × le taux logarithmique quotidien potentiel r</t>
      </text>
    </comment>
    <comment ref="DL3" authorId="0" shapeId="0" xr:uid="{00000000-0006-0000-0000-000016000000}">
      <text>
        <t xml:space="preserve">Randy Oliver :
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t>
      </text>
    </comment>
    <comment ref="DM3" authorId="0" shapeId="0" xr:uid="{00000000-0006-0000-0000-000017000000}">
      <text>
        <t xml:space="preserve">Randy Oliver :
Les données d’immigration figurent dans l’onglet Profils de colonie, colonne AC. Elles sont fondées sur les données de Greatti, Sakofski, Mangum, Page et Frey, que j’ai représentées sous forme de courbes lissées.
</t>
      </text>
    </comment>
    <comment ref="DN3" authorId="0" shapeId="0" xr:uid="{00000000-0006-0000-0000-000018000000}">
      <text>
        <t xml:space="preserve">Randy Oliver :
Voir « Calcul de la dérive des varroas hors de la ruche »</t>
      </text>
    </comment>
    <comment ref="DR3" authorId="0" shapeId="0" xr:uid="{00000000-0006-0000-0000-000019000000}">
      <text>
        <t xml:space="preserve">Randy Oliver :
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t>
      </text>
    </comment>
    <comment ref="DY3" authorId="0" shapeId="0" xr:uid="{00000000-0006-0000-0000-00001A000000}">
      <text>
        <t xml:space="preserve">Randy Oliver :
J’ai introduit deux indicateurs d’effondrement : le premier lorsque le comptage des varroas phorétiques dépasse la valeur saisie en présence de couvain ; le second lorsque le couvain est absent.</t>
      </text>
    </comment>
    <comment ref="EC3" authorId="0" shapeId="0" xr:uid="{00000000-0006-0000-0000-00001B000000}">
      <text>
        <t xml:space="preserve">Randy Oliver :
Presque toute la mortalité des abeilles adultes se produit à l’extérieur de la ruche. J’ai donc simplement calculé le nombre d’adultes mourant par période, puis utilisé la valeur saisie en B46 et le taux d’infestation phorétique pour calculer le nombre de varroas perdus.</t>
      </text>
    </comment>
    <comment ref="EG3" authorId="0" shapeId="0" xr:uid="{00000000-0006-0000-0000-00001C000000}">
      <text>
        <t xml:space="preserve">Randy Oliver :
Voir Cervo 2014</t>
      </text>
    </comment>
    <comment ref="EH3" authorId="0" shapeId="0" xr:uid="{00000000-0006-0000-0000-00001D000000}">
      <text>
        <t xml:space="preserve">Randy Oliver :
Kralj 2006 : de 9 à 30 % des abeilles infestées qui sortent ne reviennent pas.</t>
      </text>
    </comment>
    <comment ref="EK3" authorId="0" shapeId="0" xr:uid="{00000000-0006-0000-0000-00001E000000}">
      <text>
        <t xml:space="preserve">Randy Oliver :
Je vois maintenant qu’il faut recalculer ceci pour refléter le pourcentage de varroas ayant survécu assez longtemps pour accomplir 3 cycles reproductifs, en fonction de la durée phorétique appropriée et de la mortalité naturelle.
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
De Ruijter (1987) a constaté qu’un varroa peut potentiellement accomplir 6 cycles reproductifs. Cependant, peu de varroas le font probablement.
Donze (1996) a constaté qu’un varroa bien fécondé contient environ 30 spermatozoïdes dans sa spermathèque.
Comme un varroa pond habituellement 4 œufs par cycle, il semble qu’un seul spermatozoïde soit utilisé pour féconder chaque œuf.
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
.</t>
      </text>
    </comment>
    <comment ref="EL3" authorId="0" shapeId="0" xr:uid="{00000000-0006-0000-0000-00001F000000}">
      <text>
        <t xml:space="preserve">Randy Oliver :
Valeurs issues du tableau de vieillissement des varroas ci-dessous, fondées sur l’hypothèse arbitraire que les varroas âgés de plus de 75 jours sont probablement incapables de se reproduire.
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
Il faudrait peut-être ramener cette durée de 75 jours à 60 jours, ce qui représenterait plus fidèlement 3 cycles reproductifs. Mais lorsque je le fais, le taux logarithmique quotidien r global devient un peu trop faible.</t>
      </text>
    </comment>
    <comment ref="BC4" authorId="0" shapeId="0" xr:uid="{00000000-0006-0000-0000-000020000000}">
      <text>
        <t xml:space="preserve">Randy Oliver :
Voir le commentaire au niveau du calcul</t>
      </text>
    </comment>
    <comment ref="BI22" authorId="0" shapeId="0" xr:uid="{00000000-0006-0000-0000-000021000000}">
      <text>
        <t xml:space="preserve">Randy Oliver :
Si 80 % des varroas sont dans le couvain et si 70 % des ouvrières partent avec l’essaim, celui-ci n’emporterait qu’environ 15 % des varroas, laissant 85 % sur place. Wilde a constaté que les essaims emportaient environ 25 % des varroas.
Jerzy Wilde, Stefan Fuchs, Janusz Bratkowski &amp; Maciej Siuda (2005). Répartition de Varroa destructor entre les essaims et les colonies. Journal of Apicultural Research 44:4, 190–194.
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
Seeley, TD &amp; ML Smith (2015). Le regroupement dense des colonies d’abeilles dans les ruchers peut accroître leur vulnérabilité à l’ectoparasite mortel Varroa destructor. Apidologie 46:716–727.</t>
      </text>
    </comment>
    <comment ref="BU37" authorId="0" shapeId="0" xr:uid="{00000000-0006-0000-0000-000022000000}">
      <text>
        <t xml:space="preserve">Randy Oliver :
Intervalles de 365/24 jours</t>
      </text>
    </comment>
    <comment ref="BE39" authorId="0" shapeId="0" xr:uid="{00000000-0006-0000-0000-000023000000}">
      <text>
        <t xml:space="preserve">Randy Oliver :
Les utilisateurs avancés peuvent saisir des valeurs personnalisées pour effectuer des analyses de sensibilité.</t>
      </text>
    </comment>
    <comment ref="AY41" authorId="0" shapeId="0" xr:uid="{00000000-0006-0000-0000-000024000000}">
      <text>
        <t xml:space="preserve">Randy Oliver :
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t>
      </text>
    </comment>
    <comment ref="AX42" authorId="0" shapeId="0" xr:uid="{00000000-0006-0000-0000-000025000000}">
      <text>
        <t xml:space="preserve">Randy Oliver :
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
Ces variables pourraient certainement être détaillées davantage pour examiner plus précisément les mécanismes de résistance, mais le résultat net se retrouve dans le taux reproductif effectif net, à droite.
</t>
      </text>
    </comment>
    <comment ref="BE45" authorId="0" shapeId="0" xr:uid="{00000000-0006-0000-0000-000026000000}">
      <text>
        <t xml:space="preserve">Randy Oliver :
La valeur de 0,005 provient de la synthèse de Martin ; plus récemment, Desiai a estimé la mortalité quotidienne hivernale à 0,0025–0,004.
Desai (2014), L’impact potentiel des agents pathogènes sur les colonies d’abeilles domestiques, Apis mellifera L., et les possibilités de lutte contre ces agents, fig. 4.5.
</t>
      </text>
    </comment>
    <comment ref="BB46" authorId="0" shapeId="0" xr:uid="{00000000-0006-0000-0000-000027000000}">
      <text>
        <t xml:space="preserve">Randy Oliver :
(0–7 %, d’après Andino 2011.) Pour réussir, les varroas doivent continuellement passer sur des ouvrières plus jeunes lorsque leurs « montures » vieillissent et partent mourir à l’extérieur, ou lorsque les corps gras de l’abeille hôte sont épuisés.
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
Voir les travaux récents de Desai (commentaire ci-dessous), ainsi que ceux du laboratoire Perdue et sur les « abeilles mordeuses de varroas ».
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
Il nous faut clairement davantage de recherches pour quantifier l’effet de l’augmentation apparente du toilettage et de la « morsure des varroas » sur la mortalité quotidienne des varroas phorétiques.</t>
      </text>
    </comment>
    <comment ref="BZ46" authorId="0" shapeId="0" xr:uid="{00000000-0006-0000-0000-000028000000}">
      <text>
        <t xml:space="preserve">Randy Oliver :
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t>
      </text>
    </comment>
    <comment ref="BF47" authorId="0" shapeId="0" xr:uid="{00000000-0006-0000-0000-000029000000}">
      <text>
        <t xml:space="preserve">Randy Oliver :
Estimation approximative étayée par Kraus 1993, Cervo 2014, DeGrandi-Hoffman 2016. Mes propres essais (2) suggèrent 0,5–1.
Mon analyse de la figure 1 de Xie suggère que cette valeur serait en moyenne de 75 %.
Xie, X. et al. Pourquoi les varroas préfèrent-ils les abeilles nourrices ? Sci. Rep. 6, 28228 ; doi: 10.1038/srep28228 (2016).</t>
      </text>
    </comment>
    <comment ref="BF48" authorId="0" shapeId="0" xr:uid="{00000000-0006-0000-0000-00002A000000}">
      <text>
        <t xml:space="preserve">Randy Oliver :
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t>
      </text>
    </comment>
    <comment ref="BC49" authorId="0" shapeId="0" xr:uid="{00000000-0006-0000-0000-00002B000000}">
      <text>
        <t xml:space="preserve">Randy Oliver :
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
Leurs données suggèrent que, dans certaines colonies, une période phorétique plus longue réduit la proportion de varroas présents dans le couvain. Le tableau 2 suggère que cette valeur pourrait être augmentée jusqu’à 25 jours, ce qui serait probablement une valeur extrême.
Voir Vandame 2003, Niveaux de compatibilité dans une nouvelle association hôte–parasite : Apis mellifera/Varroa jacobsoni. Les abeilles européennes (EHB) présentaient un rapport plus élevé entre durée phorétique et durée dans le couvain, ainsi qu’une faible valeur de r.
Le modèle est extrêmement sensible aux ajustements de cette valeur !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Randy Oliver</author>
  </authors>
  <commentList>
    <comment ref="BE3" authorId="0" shapeId="0" xr:uid="{62D74A39-7A0D-4AFC-B22F-8CDEBC8477EA}">
      <text>
        <t xml:space="preserve">Randy Oliver :
Lorsque je compare les données de terrain de colonies d’un même rucher, je constate des valeurs très éloignées de la tendance générale pour l’accroissement des varroas. Interprétez donc le modèle comme présentant des nombres médians de varroas, et non des moyennes.</t>
      </text>
    </comment>
    <comment ref="BQ3" authorId="0" shapeId="0" xr:uid="{9370E183-FF6A-4A5F-928C-DCE05C57D1B8}">
      <text>
        <t xml:space="preserve">Randy Oliver :
Nombre de cadres × AK44</t>
      </text>
    </comment>
    <comment ref="BS3" authorId="0" shapeId="0" xr:uid="{2F66E84A-734B-4D2F-A739-DAEA0313C5C7}">
      <text>
        <t xml:space="preserve">Randy Oliver :
Nombre de cadres × AK43
</t>
      </text>
    </comment>
    <comment ref="BV3" authorId="0" shapeId="0" xr:uid="{252EB478-52B0-4AD7-A3F0-0E58B948E1EA}">
      <text>
        <t xml:space="preserve">Randy Oliver :
BN6*AP6</t>
      </text>
    </comment>
    <comment ref="BX3" authorId="0" shapeId="0" xr:uid="{39503078-F5BE-4B94-9303-E6238D23CBCA}">
      <text>
        <t xml:space="preserve">Randy Oliver :
J’ai extrapolé les valeurs de Boot et constaté qu’elles s’ajustent à une fonction logarithmique.
Voir les calculs à partir de la cellule AU86.
Pour cette version, l’hypothèse fondamentale est que les fondatrices envahissent les cellules selon la relation y=-5*ln(x)+5, où x est le rapport couvain / abeilles adultes et y le nombre de jours de phorésie.
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
</t>
      </text>
    </comment>
    <comment ref="BY3" authorId="0" shapeId="0" xr:uid="{C72A3CCB-42D0-4622-8467-6B222357EFFE}">
      <text>
        <t xml:space="preserve">Randy Oliver :
Ce calcul est au cœur du modèle, car il permet de calculer à la fois le taux logarithmique quotidien r et le pourcentage de varroas phorétiques pendant la période indiquée.</t>
      </text>
    </comment>
    <comment ref="CC3" authorId="0" shapeId="0" xr:uid="{55D3C510-324D-4F93-9475-A92DCF08BCE9}">
      <text>
        <t xml:space="preserve">Randy Oliver :
Hypothèse : 12 jours sous opercule ; 20 jours au total.</t>
      </text>
    </comment>
    <comment ref="CE3" authorId="0" shapeId="0" xr:uid="{AB732A5A-F2F8-4A78-8CBC-36C0B68EDD76}">
      <text>
        <t xml:space="preserve">Randy Oliver :
Le pourcentage de cellules de mâles mesuré en surface surestime leur nombre réel, car une surface d’environ 6,45 cm² (1 pouce carré dans l’original) contient approximativement 25 cellules d’ouvrières, mais seulement environ 16 cellules de mâles.</t>
      </text>
    </comment>
    <comment ref="CJ3" authorId="0" shapeId="0" xr:uid="{FA906222-52F7-4245-8417-BCD650B4235F}">
      <text>
        <t xml:space="preserve">Randy Oliver :
Estimation obtenue en retranchant le pourcentage de cellules ne contenant aucun varroa, sur la base de la loi de Poisson.</t>
      </text>
    </comment>
    <comment ref="CK3" authorId="0" shapeId="0" xr:uid="{BAE615DB-47BD-4FD9-9FD0-3E3719DC20F7}">
      <text>
        <t xml:space="preserve">Randy Oliver :
Voir le commentaire de la colonne BS.</t>
      </text>
    </comment>
    <comment ref="CL3" authorId="0" shapeId="0" xr:uid="{A18B2442-807C-4897-A465-BD563F987929}">
      <text>
        <t xml:space="preserve">Randy Oliver :
Suppose 15 jours dans le couvain</t>
      </text>
    </comment>
    <comment ref="CM3" authorId="0" shapeId="0" xr:uid="{0C54049E-B207-48DD-A631-D3CFB35EB36A}">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CT3" authorId="0" shapeId="0" xr:uid="{516C16E4-9234-4123-8B98-A96C43A52CA3}">
      <text>
        <t xml:space="preserve">Randy Oliver :
Estimation obtenue en retranchant le pourcentage de cellules ne contenant aucun varroa, sur la base de la loi de Poisson.</t>
      </text>
    </comment>
    <comment ref="CU3" authorId="0" shapeId="0" xr:uid="{4309A39D-275B-44B7-ABD5-DB6FF1F5C04E}">
      <text>
        <t xml:space="preserve">Randy Oliver :
Voir le commentaire de la colonne BS.</t>
      </text>
    </comment>
    <comment ref="CX3" authorId="0" shapeId="0" xr:uid="{C7895139-2F72-40A7-A6F0-114B82520842}">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DA3" authorId="0" shapeId="0" xr:uid="{39DF62E2-94BB-4281-80BF-96904BAD4595}">
      <text>
        <t xml:space="preserve">Randy Oliver :
Taux reproductif potentiel théorique, fondé sur le pourcentage de varroas dans le couvain de mâles × la reproduction dans ce couvain, plus le même calcul pour le couvain d’ouvrières. Le pourcentage de femelles fécondées et la mortalité des fondatrices sont calculés ailleurs.</t>
      </text>
    </comment>
    <comment ref="DB3" authorId="0" shapeId="0" xr:uid="{4C3DBEF4-69BA-4D54-AB75-30E6AB40FC9A}">
      <text>
        <t xml:space="preserve">Randy Oliver :
Ce calcul prend en compte la mortalité des fondatrices. Voir le calcul en AJ79</t>
      </text>
    </comment>
    <comment ref="DC3" authorId="0" shapeId="0" xr:uid="{F4B0DD2C-A734-4AB8-B1A5-161CF134B6DB}">
      <text>
        <t xml:space="preserve">Randy Oliver :
Cette figure montre les moments les plus efficaces pour réduire la reproduction des varroas.</t>
      </text>
    </comment>
    <comment ref="DF3" authorId="0" shapeId="0" xr:uid="{C8323E77-6275-44D2-83E1-AAAA979967E6}">
      <text>
        <t xml:space="preserve">Randy Oliver :
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t>
      </text>
    </comment>
    <comment ref="DG3" authorId="0" shapeId="0" xr:uid="{80D6F6EF-0030-4BBC-B6D0-4C77B41D26A1}">
      <text>
        <t xml:space="preserve">Randy Oliver :
Voir le commentaire associé au calcul à droite</t>
      </text>
    </comment>
    <comment ref="DH3" authorId="0" shapeId="0" xr:uid="{4768FA30-A5AF-4959-B7DB-CBFB64522E89}">
      <text>
        <t xml:space="preserve">Randy Oliver :
Fondé sur le nombre de varroas potentiellement féconds × le taux logarithmique quotidien potentiel r</t>
      </text>
    </comment>
    <comment ref="DK3" authorId="0" shapeId="0" xr:uid="{E2EC33FF-0660-4776-9BBF-6BC5BB3DEE57}">
      <text>
        <t xml:space="preserve">Randy Oliver :
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t>
      </text>
    </comment>
    <comment ref="DL3" authorId="0" shapeId="0" xr:uid="{24363395-A911-475E-84B6-CF5D028B00E0}">
      <text>
        <t xml:space="preserve">Randy Oliver :
Les données d’immigration figurent dans l’onglet Profils de colonie, colonne AC. Elles sont fondées sur les données de Greatti, Sakofski, Mangum, Page et Frey, que j’ai représentées sous forme de courbes lissées.
</t>
      </text>
    </comment>
    <comment ref="DM3" authorId="0" shapeId="0" xr:uid="{78230E88-23C2-47C2-8431-44FA53D11F34}">
      <text>
        <t xml:space="preserve">Randy Oliver :
Voir « Calcul de la dérive des varroas hors de la ruche »</t>
      </text>
    </comment>
    <comment ref="DQ3" authorId="0" shapeId="0" xr:uid="{DBF9560B-022E-4FED-B47A-0DBDAD528FF0}">
      <text>
        <t xml:space="preserve">Randy Oliver :
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t>
      </text>
    </comment>
    <comment ref="DX3" authorId="0" shapeId="0" xr:uid="{17E6A032-C1A2-49A1-B1D8-B33949004766}">
      <text>
        <t xml:space="preserve">Randy Oliver :
J’ai introduit deux indicateurs d’effondrement : le premier lorsque le comptage des varroas phorétiques dépasse la valeur saisie en présence de couvain ; le second lorsque le couvain est absent.</t>
      </text>
    </comment>
    <comment ref="EB3" authorId="0" shapeId="0" xr:uid="{7C73BD00-3B89-47D7-B80D-686CDDEA714A}">
      <text>
        <t xml:space="preserve">Randy Oliver :
Presque toute la mortalité des abeilles adultes se produit à l’extérieur de la ruche. J’ai donc simplement calculé le nombre d’adultes mourant par période, puis utilisé la valeur saisie en B46 et le taux d’infestation phorétique pour calculer le nombre de varroas perdus.</t>
      </text>
    </comment>
    <comment ref="EF3" authorId="0" shapeId="0" xr:uid="{8ED7D48F-B277-4922-932F-6A8F1C7BA483}">
      <text>
        <t xml:space="preserve">Randy Oliver :
Voir Cervo 2014</t>
      </text>
    </comment>
    <comment ref="EG3" authorId="0" shapeId="0" xr:uid="{D56ABF0E-C427-4591-87D9-3316A41FDDB8}">
      <text>
        <t xml:space="preserve">Randy Oliver :
Kralj 2006 : de 9 à 30 % des abeilles infestées qui sortent ne reviennent pas.</t>
      </text>
    </comment>
    <comment ref="EJ3" authorId="0" shapeId="0" xr:uid="{AF1AB5AC-8DBA-48BE-A11F-243A4E66447D}">
      <text>
        <t xml:space="preserve">Randy Oliver :
Je vois maintenant qu’il faut recalculer ceci pour refléter le pourcentage de varroas ayant survécu assez longtemps pour accomplir 3 cycles reproductifs, en fonction de la durée phorétique appropriée et de la mortalité naturelle.
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
De Ruijter (1987) a constaté qu’un varroa peut potentiellement accomplir 6 cycles reproductifs. Cependant, peu de varroas le font probablement.
Donze (1996) a constaté qu’un varroa bien fécondé contient environ 30 spermatozoïdes dans sa spermathèque.
Comme un varroa pond habituellement 4 œufs par cycle, il semble qu’un seul spermatozoïde soit utilisé pour féconder chaque œuf.
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
.</t>
      </text>
    </comment>
    <comment ref="EK3" authorId="0" shapeId="0" xr:uid="{4612BC7D-D9F1-4B62-96F8-43F9FCA29DC1}">
      <text>
        <t xml:space="preserve">Randy Oliver :
Valeurs issues du tableau de vieillissement des varroas ci-dessous, fondées sur l’hypothèse arbitraire que les varroas âgés de plus de 75 jours sont probablement incapables de se reproduire.
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
Il faudrait peut-être ramener cette durée de 75 jours à 60 jours, ce qui représenterait plus fidèlement 3 cycles reproductifs. Mais lorsque je le fais, le taux logarithmique quotidien r global devient un peu trop faible.</t>
      </text>
    </comment>
    <comment ref="BB4" authorId="0" shapeId="0" xr:uid="{84C019E1-968E-4EF6-9B28-C592BB532114}">
      <text>
        <t xml:space="preserve">Randy Oliver :
Voir le commentaire au niveau du calcul</t>
      </text>
    </comment>
    <comment ref="BH22" authorId="0" shapeId="0" xr:uid="{4AF7A124-3C52-4C2F-A190-088CFB80F5E1}">
      <text>
        <t xml:space="preserve">Randy Oliver :
Si 80 % des varroas sont dans le couvain et si 70 % des ouvrières partent avec l’essaim, celui-ci n’emporterait qu’environ 15 % des varroas, laissant 85 % sur place. Wilde a constaté que les essaims emportaient environ 25 % des varroas.
Jerzy Wilde, Stefan Fuchs, Janusz Bratkowski &amp; Maciej Siuda (2005). Répartition de Varroa destructor entre les essaims et les colonies. Journal of Apicultural Research 44:4, 190–194.
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
Seeley, TD &amp; ML Smith (2015). Le regroupement dense des colonies d’abeilles dans les ruchers peut accroître leur vulnérabilité à l’ectoparasite mortel Varroa destructor. Apidologie 46:716–727.</t>
      </text>
    </comment>
    <comment ref="BT37" authorId="0" shapeId="0" xr:uid="{CB17CC9C-B2FA-4782-8B25-ADD93FA04F18}">
      <text>
        <t xml:space="preserve">Randy Oliver :
Intervalles de 365/24 jours</t>
      </text>
    </comment>
    <comment ref="BD39" authorId="0" shapeId="0" xr:uid="{B09EEB59-2E21-4517-89AC-25670BA22DB1}">
      <text>
        <t xml:space="preserve">Randy Oliver :
Les utilisateurs avancés peuvent saisir des valeurs personnalisées pour effectuer des analyses de sensibilité.</t>
      </text>
    </comment>
    <comment ref="AX41" authorId="0" shapeId="0" xr:uid="{8F3C7A27-BE12-45C9-87F8-5DDC5D4D6073}">
      <text>
        <t xml:space="preserve">Randy Oliver :
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t>
      </text>
    </comment>
    <comment ref="AW42" authorId="0" shapeId="0" xr:uid="{6818BD11-343A-414E-9B6B-6CB8080AB9B6}">
      <text>
        <t xml:space="preserve">Randy Oliver :
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
Ces variables pourraient certainement être détaillées davantage pour examiner plus précisément les mécanismes de résistance, mais le résultat net se retrouve dans le taux reproductif effectif net, à droite.
</t>
      </text>
    </comment>
    <comment ref="BD45" authorId="0" shapeId="0" xr:uid="{54777319-FF3E-41C3-9584-C9EEF23D1289}">
      <text>
        <t xml:space="preserve">Randy Oliver :
La valeur de 0,005 provient de la synthèse de Martin ; plus récemment, Desiai a estimé la mortalité quotidienne hivernale à 0,0025–0,004.
Desai (2014), L’impact potentiel des agents pathogènes sur les colonies d’abeilles domestiques, Apis mellifera L., et les possibilités de lutte contre ces agents, fig. 4.5.
</t>
      </text>
    </comment>
    <comment ref="BA46" authorId="0" shapeId="0" xr:uid="{5C82FDA5-2D41-4776-8991-248723F7BBE5}">
      <text>
        <t xml:space="preserve">Randy Oliver :
(0–7 %, d’après Andino 2011.) Pour réussir, les varroas doivent continuellement passer sur des ouvrières plus jeunes lorsque leurs « montures » vieillissent et partent mourir à l’extérieur, ou lorsque les corps gras de l’abeille hôte sont épuisés.
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
Voir les travaux récents de Desai (commentaire ci-dessous), ainsi que ceux du laboratoire Perdue et sur les « abeilles mordeuses de varroas ».
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
Il nous faut clairement davantage de recherches pour quantifier l’effet de l’augmentation apparente du toilettage et de la « morsure des varroas » sur la mortalité quotidienne des varroas phorétiques.</t>
      </text>
    </comment>
    <comment ref="BY46" authorId="0" shapeId="0" xr:uid="{5310F68C-0719-4943-A978-E3163C9F6586}">
      <text>
        <t xml:space="preserve">Randy Oliver :
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t>
      </text>
    </comment>
    <comment ref="BE47" authorId="0" shapeId="0" xr:uid="{4185EBF5-79C0-4C5E-BFCE-9A141C14C5E2}">
      <text>
        <t xml:space="preserve">Randy Oliver :
Estimation approximative étayée par Kraus 1993, Cervo 2014, DeGrandi-Hoffman 2016. Mes propres essais (2) suggèrent 0,5–1.
Mon analyse de la figure 1 de Xie suggère que cette valeur serait en moyenne de 75 %.
Xie, X. et al. Pourquoi les varroas préfèrent-ils les abeilles nourrices ? Sci. Rep. 6, 28228 ; doi: 10.1038/srep28228 (2016).</t>
      </text>
    </comment>
    <comment ref="BE48" authorId="0" shapeId="0" xr:uid="{D743D04E-7516-46BC-9234-A4B0C92C6A71}">
      <text>
        <t xml:space="preserve">Randy Oliver :
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t>
      </text>
    </comment>
    <comment ref="BB49" authorId="0" shapeId="0" xr:uid="{1B6C4E05-FB0B-4A76-ABE3-4808FD4E3D14}">
      <text>
        <t xml:space="preserve">Randy Oliver :
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
Leurs données suggèrent que, dans certaines colonies, une période phorétique plus longue réduit la proportion de varroas présents dans le couvain. Le tableau 2 suggère que cette valeur pourrait être augmentée jusqu’à 25 jours, ce qui serait probablement une valeur extrême.
Voir Vandame 2003, Niveaux de compatibilité dans une nouvelle association hôte–parasite : Apis mellifera/Varroa jacobsoni. Les abeilles européennes (EHB) présentaient un rapport plus élevé entre durée phorétique et durée dans le couvain, ainsi qu’une faible valeur de r.
Le modèle est extrêmement sensible aux ajustements de cette valeur !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Randy Oliver</author>
  </authors>
  <commentList>
    <comment ref="BE3" authorId="0" shapeId="0" xr:uid="{00000000-0006-0000-0100-000001000000}">
      <text>
        <t xml:space="preserve">Randy Oliver :
Lorsque je compare les données de terrain de colonies d’un même rucher, je constate des valeurs très éloignées de la tendance générale pour l’accroissement des varroas. Interprétez donc le modèle comme présentant des nombres médians de varroas, et non des moyennes.</t>
      </text>
    </comment>
    <comment ref="BR3" authorId="0" shapeId="0" xr:uid="{00000000-0006-0000-0100-000002000000}">
      <text>
        <t xml:space="preserve">Randy Oliver :
Nombre de cadres × AK44</t>
      </text>
    </comment>
    <comment ref="BT3" authorId="0" shapeId="0" xr:uid="{00000000-0006-0000-0100-000003000000}">
      <text>
        <t xml:space="preserve">Randy Oliver :
Nombre de cadres × AK43
</t>
      </text>
    </comment>
    <comment ref="BW3" authorId="0" shapeId="0" xr:uid="{00000000-0006-0000-0100-000004000000}">
      <text>
        <t xml:space="preserve">Randy Oliver :
BN6*AP6</t>
      </text>
    </comment>
    <comment ref="BY3" authorId="0" shapeId="0" xr:uid="{00000000-0006-0000-0100-000005000000}">
      <text>
        <t xml:space="preserve">Randy Oliver :
J’ai extrapolé les valeurs de Boot et constaté qu’elles s’ajustent à une fonction logarithmique.
Voir les calculs à partir de la cellule AU86.
Pour cette version, l’hypothèse fondamentale est que les fondatrices envahissent les cellules selon la relation y=-5*ln(x)+5, où x est le rapport couvain / abeilles adultes et y le nombre de jours de phorésie.
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
</t>
      </text>
    </comment>
    <comment ref="BZ3" authorId="0" shapeId="0" xr:uid="{00000000-0006-0000-0100-000006000000}">
      <text>
        <t xml:space="preserve">Randy Oliver :
Ce calcul est au cœur du modèle, car il permet de calculer à la fois le taux logarithmique quotidien r et le pourcentage de varroas phorétiques pendant la période indiquée.</t>
      </text>
    </comment>
    <comment ref="CF3" authorId="0" shapeId="0" xr:uid="{00000000-0006-0000-0100-000007000000}">
      <text>
        <t xml:space="preserve">Randy Oliver :
Hypothèse : 12 jours sous opercule ; 20 jours au total.</t>
      </text>
    </comment>
    <comment ref="CH3" authorId="0" shapeId="0" xr:uid="{00000000-0006-0000-0100-000008000000}">
      <text>
        <t xml:space="preserve">Randy Oliver :
Le pourcentage de cellules de mâles mesuré en surface surestime leur nombre réel, car une surface d’environ 6,45 cm² (1 pouce carré dans l’original) contient approximativement 25 cellules d’ouvrières, mais seulement environ 16 cellules de mâles.</t>
      </text>
    </comment>
    <comment ref="CM3" authorId="0" shapeId="0" xr:uid="{00000000-0006-0000-0100-000009000000}">
      <text>
        <t xml:space="preserve">Randy Oliver :
Estimation obtenue en retranchant le pourcentage de cellules ne contenant aucun varroa, sur la base de la loi de Poisson.</t>
      </text>
    </comment>
    <comment ref="CN3" authorId="0" shapeId="0" xr:uid="{00000000-0006-0000-0100-00000A000000}">
      <text>
        <t xml:space="preserve">Randy Oliver :
Voir le commentaire de la colonne BS.</t>
      </text>
    </comment>
    <comment ref="CO3" authorId="0" shapeId="0" xr:uid="{00000000-0006-0000-0100-00000B000000}">
      <text>
        <t xml:space="preserve">Randy Oliver :
Suppose 15 jours dans le couvain</t>
      </text>
    </comment>
    <comment ref="CP3" authorId="0" shapeId="0" xr:uid="{00000000-0006-0000-0100-00000C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CW3" authorId="0" shapeId="0" xr:uid="{00000000-0006-0000-0100-00000D000000}">
      <text>
        <t xml:space="preserve">Randy Oliver :
Estimation obtenue en retranchant le pourcentage de cellules ne contenant aucun varroa, sur la base de la loi de Poisson.</t>
      </text>
    </comment>
    <comment ref="CX3" authorId="0" shapeId="0" xr:uid="{00000000-0006-0000-0100-00000E000000}">
      <text>
        <t xml:space="preserve">Randy Oliver :
Voir le commentaire de la colonne BS.</t>
      </text>
    </comment>
    <comment ref="DA3" authorId="0" shapeId="0" xr:uid="{00000000-0006-0000-0100-00000F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DD3" authorId="0" shapeId="0" xr:uid="{00000000-0006-0000-0100-000010000000}">
      <text>
        <t xml:space="preserve">Randy Oliver :
Taux reproductif potentiel théorique, fondé sur le pourcentage de varroas dans le couvain de mâles × la reproduction dans ce couvain, plus le même calcul pour le couvain d’ouvrières. Le pourcentage de femelles fécondées et la mortalité des fondatrices sont calculés ailleurs.</t>
      </text>
    </comment>
    <comment ref="DE3" authorId="0" shapeId="0" xr:uid="{00000000-0006-0000-0100-000011000000}">
      <text>
        <t xml:space="preserve">Randy Oliver :
Ce calcul prend en compte la mortalité des fondatrices. Voir le calcul en AJ79</t>
      </text>
    </comment>
    <comment ref="DF3" authorId="0" shapeId="0" xr:uid="{00000000-0006-0000-0100-000012000000}">
      <text>
        <t xml:space="preserve">Randy Oliver :
Cette figure montre les moments les plus efficaces pour réduire la reproduction des varroas.</t>
      </text>
    </comment>
    <comment ref="DI3" authorId="0" shapeId="0" xr:uid="{00000000-0006-0000-0100-000013000000}">
      <text>
        <t xml:space="preserve">Randy Oliver :
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t>
      </text>
    </comment>
    <comment ref="DJ3" authorId="0" shapeId="0" xr:uid="{00000000-0006-0000-0100-000014000000}">
      <text>
        <t xml:space="preserve">Randy Oliver :
Voir le commentaire associé au calcul à droite</t>
      </text>
    </comment>
    <comment ref="DK3" authorId="0" shapeId="0" xr:uid="{00000000-0006-0000-0100-000015000000}">
      <text>
        <t xml:space="preserve">Randy Oliver :
Fondé sur le nombre de varroas potentiellement féconds × le taux logarithmique quotidien potentiel r</t>
      </text>
    </comment>
    <comment ref="DN3" authorId="0" shapeId="0" xr:uid="{00000000-0006-0000-0100-000016000000}">
      <text>
        <t xml:space="preserve">Randy Oliver :
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t>
      </text>
    </comment>
    <comment ref="DO3" authorId="0" shapeId="0" xr:uid="{00000000-0006-0000-0100-000017000000}">
      <text>
        <t xml:space="preserve">Randy Oliver :
Les données d’immigration figurent dans l’onglet Profils de colonie, colonne AC. Elles sont fondées sur les données de Greatti, Sakofski, Mangum, Page et Frey, que j’ai représentées sous forme de courbes lissées.
</t>
      </text>
    </comment>
    <comment ref="DP3" authorId="0" shapeId="0" xr:uid="{00000000-0006-0000-0100-000018000000}">
      <text>
        <t xml:space="preserve">Randy Oliver :
Voir « Calcul de la dérive des varroas hors de la ruche »</t>
      </text>
    </comment>
    <comment ref="DT3" authorId="0" shapeId="0" xr:uid="{00000000-0006-0000-0100-000019000000}">
      <text>
        <t xml:space="preserve">Randy Oliver :
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t>
      </text>
    </comment>
    <comment ref="EA3" authorId="0" shapeId="0" xr:uid="{00000000-0006-0000-0100-00001A000000}">
      <text>
        <t xml:space="preserve">Randy Oliver :
J’ai introduit deux indicateurs d’effondrement : le premier lorsque le comptage des varroas phorétiques dépasse la valeur saisie en présence de couvain ; le second lorsque le couvain est absent.</t>
      </text>
    </comment>
    <comment ref="EE3" authorId="0" shapeId="0" xr:uid="{00000000-0006-0000-0100-00001B000000}">
      <text>
        <t xml:space="preserve">Randy Oliver :
Presque toute la mortalité des abeilles adultes se produit à l’extérieur de la ruche. J’ai donc simplement calculé le nombre d’adultes mourant par période, puis utilisé la valeur saisie en B46 et le taux d’infestation phorétique pour calculer le nombre de varroas perdus.</t>
      </text>
    </comment>
    <comment ref="EI3" authorId="0" shapeId="0" xr:uid="{00000000-0006-0000-0100-00001C000000}">
      <text>
        <t xml:space="preserve">Randy Oliver :
Voir Cervo 2014</t>
      </text>
    </comment>
    <comment ref="EJ3" authorId="0" shapeId="0" xr:uid="{00000000-0006-0000-0100-00001D000000}">
      <text>
        <t xml:space="preserve">Randy Oliver :
Kralj 2006 : de 9 à 30 % des abeilles infestées qui sortent ne reviennent pas.</t>
      </text>
    </comment>
    <comment ref="EM3" authorId="0" shapeId="0" xr:uid="{00000000-0006-0000-0100-00001E000000}">
      <text>
        <t xml:space="preserve">Randy Oliver :
Je vois maintenant qu’il faut recalculer ceci pour refléter le pourcentage de varroas ayant survécu assez longtemps pour accomplir 3 cycles reproductifs, en fonction de la durée phorétique appropriée et de la mortalité naturelle.
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
De Ruijter (1987) a constaté qu’un varroa peut potentiellement accomplir 6 cycles reproductifs. Cependant, peu de varroas le font probablement.
Donze (1996) a constaté qu’un varroa bien fécondé contient environ 30 spermatozoïdes dans sa spermathèque.
Comme un varroa pond habituellement 4 œufs par cycle, il semble qu’un seul spermatozoïde soit utilisé pour féconder chaque œuf.
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
.</t>
      </text>
    </comment>
    <comment ref="EN3" authorId="0" shapeId="0" xr:uid="{00000000-0006-0000-0100-00001F000000}">
      <text>
        <t xml:space="preserve">Randy Oliver :
Valeurs issues du tableau de vieillissement des varroas ci-dessous, fondées sur l’hypothèse arbitraire que les varroas âgés de plus de 75 jours sont probablement incapables de se reproduire.
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
Il faudrait peut-être ramener cette durée de 75 jours à 60 jours, ce qui représenterait plus fidèlement 3 cycles reproductifs. Mais lorsque je le fais, le taux logarithmique quotidien r global devient un peu trop faible.</t>
      </text>
    </comment>
    <comment ref="BB4" authorId="0" shapeId="0" xr:uid="{00000000-0006-0000-0100-000020000000}">
      <text>
        <t xml:space="preserve">Randy Oliver :
Voir le commentaire au niveau du calcul</t>
      </text>
    </comment>
    <comment ref="BH22" authorId="0" shapeId="0" xr:uid="{00000000-0006-0000-0100-000021000000}">
      <text>
        <t xml:space="preserve">Randy Oliver :
Si 80 % des varroas sont dans le couvain et si 70 % des ouvrières partent avec l’essaim, celui-ci n’emporterait qu’environ 15 % des varroas, laissant 85 % sur place. Wilde a constaté que les essaims emportaient environ 25 % des varroas.
Jerzy Wilde, Stefan Fuchs, Janusz Bratkowski &amp; Maciej Siuda (2005). Répartition de Varroa destructor entre les essaims et les colonies. Journal of Apicultural Research 44:4, 190–194.
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
Seeley, TD &amp; ML Smith (2015). Le regroupement dense des colonies d’abeilles dans les ruchers peut accroître leur vulnérabilité à l’ectoparasite mortel Varroa destructor. Apidologie 46:716–727.</t>
      </text>
    </comment>
    <comment ref="BU37" authorId="0" shapeId="0" xr:uid="{00000000-0006-0000-0100-000022000000}">
      <text>
        <t xml:space="preserve">Randy Oliver :
Intervalles de 365/24 jours</t>
      </text>
    </comment>
    <comment ref="BD39" authorId="0" shapeId="0" xr:uid="{00000000-0006-0000-0100-000023000000}">
      <text>
        <t xml:space="preserve">Randy Oliver :
Les utilisateurs avancés peuvent saisir des valeurs personnalisées pour effectuer des analyses de sensibilité.</t>
      </text>
    </comment>
    <comment ref="AX41" authorId="0" shapeId="0" xr:uid="{00000000-0006-0000-0100-000024000000}">
      <text>
        <t xml:space="preserve">Randy Oliver :
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t>
      </text>
    </comment>
    <comment ref="AW42" authorId="0" shapeId="0" xr:uid="{00000000-0006-0000-0100-000025000000}">
      <text>
        <t xml:space="preserve">Randy Oliver :
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
Ces variables pourraient certainement être détaillées davantage pour examiner plus précisément les mécanismes de résistance, mais le résultat net se retrouve dans le taux reproductif effectif net, à droite.
</t>
      </text>
    </comment>
    <comment ref="BD45" authorId="0" shapeId="0" xr:uid="{00000000-0006-0000-0100-000026000000}">
      <text>
        <t xml:space="preserve">Randy Oliver :
La valeur de 0,005 provient de la synthèse de Martin ; plus récemment, Desiai a estimé la mortalité quotidienne hivernale à 0,0025–0,004.
Desai (2014), L’impact potentiel des agents pathogènes sur les colonies d’abeilles domestiques, Apis mellifera L., et les possibilités de lutte contre ces agents, fig. 4.5.
</t>
      </text>
    </comment>
    <comment ref="BA46" authorId="0" shapeId="0" xr:uid="{00000000-0006-0000-0100-000027000000}">
      <text>
        <t xml:space="preserve">Randy Oliver :
(0–7 %, d’après Andino 2011.) Pour réussir, les varroas doivent continuellement passer sur des ouvrières plus jeunes lorsque leurs « montures » vieillissent et partent mourir à l’extérieur, ou lorsque les corps gras de l’abeille hôte sont épuisés.
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
Voir les travaux récents de Desai (commentaire ci-dessous), ainsi que ceux du laboratoire Perdue et sur les « abeilles mordeuses de varroas ».
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
Il nous faut clairement davantage de recherches pour quantifier l’effet de l’augmentation apparente du toilettage et de la « morsure des varroas » sur la mortalité quotidienne des varroas phorétiques.</t>
      </text>
    </comment>
    <comment ref="BZ46" authorId="0" shapeId="0" xr:uid="{00000000-0006-0000-0100-000028000000}">
      <text>
        <t xml:space="preserve">Randy Oliver :
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t>
      </text>
    </comment>
    <comment ref="BE47" authorId="0" shapeId="0" xr:uid="{00000000-0006-0000-0100-000029000000}">
      <text>
        <t xml:space="preserve">Randy Oliver :
Estimation approximative étayée par Kraus 1993, Cervo 2014, DeGrandi-Hoffman 2016. Mes propres essais (2) suggèrent 0,5–1.
Mon analyse de la figure 1 de Xie suggère que cette valeur serait en moyenne de 75 %.
Xie, X. et al. Pourquoi les varroas préfèrent-ils les abeilles nourrices ? Sci. Rep. 6, 28228 ; doi: 10.1038/srep28228 (2016).</t>
      </text>
    </comment>
    <comment ref="BE48" authorId="0" shapeId="0" xr:uid="{00000000-0006-0000-0100-00002A000000}">
      <text>
        <t xml:space="preserve">Randy Oliver :
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t>
      </text>
    </comment>
    <comment ref="BB49" authorId="0" shapeId="0" xr:uid="{00000000-0006-0000-0100-00002B000000}">
      <text>
        <t xml:space="preserve">Randy Oliver :
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
Leurs données suggèrent que, dans certaines colonies, une période phorétique plus longue réduit la proportion de varroas présents dans le couvain. Le tableau 2 suggère que cette valeur pourrait être augmentée jusqu’à 25 jours, ce qui serait probablement une valeur extrême.
Voir Vandame 2003, Niveaux de compatibilité dans une nouvelle association hôte–parasite : Apis mellifera/Varroa jacobsoni. Les abeilles européennes (EHB) présentaient un rapport plus élevé entre durée phorétique et durée dans le couvain, ainsi qu’une faible valeur de r.
Le modèle est extrêmement sensible aux ajustements de cette valeur !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Randy Oliver</author>
  </authors>
  <commentList>
    <comment ref="O25" authorId="0" shapeId="0" xr:uid="{00000000-0006-0000-0200-000001000000}">
      <text>
        <t xml:space="preserve">Randy Oliver :
Allen (1965) Effet de la disponibilité abondante de rayons à cellules de mâles sur les colonies d’abeilles, Journal of Apicultural Research 4(2): 109-119</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Randy Oliver</author>
  </authors>
  <commentList>
    <comment ref="BF2" authorId="0" shapeId="0" xr:uid="{00000000-0006-0000-0B00-000001000000}">
      <text>
        <t xml:space="preserve">Randy Oliver :
Lorsque je compare les données de terrain de colonies d’un même rucher, je constate des valeurs très éloignées de la tendance générale pour l’accroissement des varroas. Interprétez donc le modèle comme présentant des nombres médians de varroas, et non des moyennes.</t>
      </text>
    </comment>
    <comment ref="BR2" authorId="0" shapeId="0" xr:uid="{00000000-0006-0000-0B00-000002000000}">
      <text>
        <t xml:space="preserve">Randy Oliver :
Nombre de cadres × AK44</t>
      </text>
    </comment>
    <comment ref="BT2" authorId="0" shapeId="0" xr:uid="{00000000-0006-0000-0B00-000003000000}">
      <text>
        <t xml:space="preserve">Randy Oliver :
Nombre de cadres × AK43
</t>
      </text>
    </comment>
    <comment ref="BW2" authorId="0" shapeId="0" xr:uid="{00000000-0006-0000-0B00-000004000000}">
      <text>
        <t xml:space="preserve">Randy Oliver :
BN6*AP6</t>
      </text>
    </comment>
    <comment ref="BY2" authorId="0" shapeId="0" xr:uid="{00000000-0006-0000-0B00-000005000000}">
      <text>
        <t xml:space="preserve">Randy Oliver :
J’ai extrapolé les valeurs de Boot et constaté qu’elles s’ajustent à une fonction logarithmique.
Voir les calculs à partir de la cellule AU86.
Pour cette version, l’hypothèse fondamentale est que les fondatrices envahissent les cellules selon la relation y=-5*ln(x)+5, où x est le rapport couvain / abeilles adultes et y le nombre de jours de phorésie.
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
</t>
      </text>
    </comment>
    <comment ref="BZ2" authorId="0" shapeId="0" xr:uid="{00000000-0006-0000-0B00-000006000000}">
      <text>
        <t xml:space="preserve">Randy Oliver :
Ce calcul est au cœur du modèle, car il permet de calculer à la fois le taux logarithmique quotidien r et le pourcentage de varroas phorétiques pendant la période indiquée.</t>
      </text>
    </comment>
    <comment ref="CD2" authorId="0" shapeId="0" xr:uid="{00000000-0006-0000-0B00-000007000000}">
      <text>
        <t xml:space="preserve">Randy Oliver :
Hypothèse : 12 jours sous opercule ; 20 jours au total.</t>
      </text>
    </comment>
    <comment ref="CF2" authorId="0" shapeId="0" xr:uid="{00000000-0006-0000-0B00-000008000000}">
      <text>
        <t xml:space="preserve">Randy Oliver :
Le pourcentage de cellules de mâles mesuré en surface surestime leur nombre réel, car une surface d’environ 6,45 cm² (1 pouce carré dans l’original) contient approximativement 25 cellules d’ouvrières, mais seulement environ 16 cellules de mâles.</t>
      </text>
    </comment>
    <comment ref="CK2" authorId="0" shapeId="0" xr:uid="{00000000-0006-0000-0B00-000009000000}">
      <text>
        <t xml:space="preserve">Randy Oliver :
Estimation obtenue en retranchant le pourcentage de cellules ne contenant aucun varroa, sur la base de la loi de Poisson.</t>
      </text>
    </comment>
    <comment ref="CL2" authorId="0" shapeId="0" xr:uid="{00000000-0006-0000-0B00-00000A000000}">
      <text>
        <t xml:space="preserve">Randy Oliver :
Voir le commentaire de la colonne BS.</t>
      </text>
    </comment>
    <comment ref="CM2" authorId="0" shapeId="0" xr:uid="{00000000-0006-0000-0B00-00000B000000}">
      <text>
        <t xml:space="preserve">Randy Oliver :
Suppose 15 jours dans le couvain</t>
      </text>
    </comment>
    <comment ref="CN2" authorId="0" shapeId="0" xr:uid="{00000000-0006-0000-0B00-00000C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CU2" authorId="0" shapeId="0" xr:uid="{00000000-0006-0000-0B00-00000D000000}">
      <text>
        <t xml:space="preserve">Randy Oliver :
Estimation obtenue en retranchant le pourcentage de cellules ne contenant aucun varroa, sur la base de la loi de Poisson.</t>
      </text>
    </comment>
    <comment ref="CV2" authorId="0" shapeId="0" xr:uid="{00000000-0006-0000-0B00-00000E000000}">
      <text>
        <t xml:space="preserve">Randy Oliver :
Voir le commentaire de la colonne BS.</t>
      </text>
    </comment>
    <comment ref="CY2" authorId="0" shapeId="0" xr:uid="{00000000-0006-0000-0B00-00000F000000}">
      <text>
        <t xml:space="preserve">Randy Oliver :
J’ai supprimé ce calcul en supposant qu’on ne laissera jamais la population de varroas augmenter au point que des invasions par plus de 3 fondatrices se produisent autrement que rarement.
S J Martin (1995) Reproduction de Varroa jacobsoni dans des cellules d’Apis mellifera contenant une ou plusieurs femelles fondatrices et répartition de ces cellules, Journal of Apicultural Research, 34:4, 187-196.
Sources de données (à valider)
Tableau 4 de Martin 1998 — Un modèle de population de l’acarien ectoparasite Varroa jacobsoni dans les colonies d’abeilles (Apis mellifera).
Donze 1996 — Effet de la fréquence d’accouplement et du taux d’infestation des cellules de couvain sur le succès reproductif du parasite de l’abeille Varroa jacobsoni.
Vandame 2003 — Degrés de compatibilité dans une nouvelle association hôte–parasite : Apis mellifera/Varroa jacobsoni.
DeGuzman 2007 — Croissance des populations de Varroa destructor (Acari: Varroidae) dans des colonies d’abeilles russes (Hymenoptera: Apidae).
</t>
      </text>
    </comment>
    <comment ref="DB2" authorId="0" shapeId="0" xr:uid="{00000000-0006-0000-0B00-000010000000}">
      <text>
        <t xml:space="preserve">Randy Oliver :
Taux reproductif potentiel théorique, fondé sur le pourcentage de varroas dans le couvain de mâles × la reproduction dans ce couvain, plus le même calcul pour le couvain d’ouvrières. Le pourcentage de femelles fécondées et la mortalité des fondatrices sont calculés ailleurs.</t>
      </text>
    </comment>
    <comment ref="DC2" authorId="0" shapeId="0" xr:uid="{00000000-0006-0000-0B00-000011000000}">
      <text>
        <t xml:space="preserve">Randy Oliver :
Ce calcul prend en compte la mortalité des fondatrices. Voir le calcul en AJ79</t>
      </text>
    </comment>
    <comment ref="DD2" authorId="0" shapeId="0" xr:uid="{00000000-0006-0000-0B00-000012000000}">
      <text>
        <t xml:space="preserve">Randy Oliver :
Cette figure montre les moments les plus efficaces pour réduire la reproduction des varroas.</t>
      </text>
    </comment>
    <comment ref="DE2" authorId="0" shapeId="0" xr:uid="{00000000-0006-0000-0B00-000013000000}">
      <text>
        <t xml:space="preserve">Randy Oliver :
Fondé sur le nombre de varroas potentiellement féconds × le taux logarithmique quotidien potentiel r</t>
      </text>
    </comment>
    <comment ref="DG2" authorId="0" shapeId="0" xr:uid="{00000000-0006-0000-0B00-000014000000}">
      <text>
        <t xml:space="preserve">Randy Oliver :
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t>
      </text>
    </comment>
    <comment ref="DH2" authorId="0" shapeId="0" xr:uid="{00000000-0006-0000-0B00-000015000000}">
      <text>
        <t xml:space="preserve">Randy Oliver :
Voir le commentaire associé au calcul à droite</t>
      </text>
    </comment>
    <comment ref="DL2" authorId="0" shapeId="0" xr:uid="{00000000-0006-0000-0B00-000016000000}">
      <text>
        <t xml:space="preserve">Randy Oliver :
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t>
      </text>
    </comment>
    <comment ref="DM2" authorId="0" shapeId="0" xr:uid="{00000000-0006-0000-0B00-000017000000}">
      <text>
        <t xml:space="preserve">Randy Oliver :
Les données d’immigration figurent dans l’onglet Profils de colonie, colonne AC. Elles sont fondées sur les données de Greatti, Sakofski, Mangum, Page et Frey, que j’ai représentées sous forme de courbes lissées.
</t>
      </text>
    </comment>
    <comment ref="DN2" authorId="0" shapeId="0" xr:uid="{00000000-0006-0000-0B00-000018000000}">
      <text>
        <t xml:space="preserve">Randy Oliver :
Voir « Calcul de la dérive des varroas hors de la ruche »</t>
      </text>
    </comment>
    <comment ref="DR2" authorId="0" shapeId="0" xr:uid="{00000000-0006-0000-0B00-000019000000}">
      <text>
        <t xml:space="preserve">Randy Oliver :
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t>
      </text>
    </comment>
    <comment ref="DY2" authorId="0" shapeId="0" xr:uid="{00000000-0006-0000-0B00-00001A000000}">
      <text>
        <t xml:space="preserve">Randy Oliver :
J’ai introduit deux indicateurs d’effondrement : le premier lorsque le comptage des varroas phorétiques dépasse la valeur saisie en présence de couvain ; le second lorsque le couvain est absent.</t>
      </text>
    </comment>
    <comment ref="EC2" authorId="0" shapeId="0" xr:uid="{00000000-0006-0000-0B00-00001B000000}">
      <text>
        <t xml:space="preserve">Randy Oliver :
Presque toute la mortalité des abeilles adultes se produit à l’extérieur de la ruche. J’ai donc simplement calculé le nombre d’adultes mourant par période, puis utilisé la valeur saisie en B46 et le taux d’infestation phorétique pour calculer le nombre de varroas perdus.</t>
      </text>
    </comment>
    <comment ref="EG2" authorId="0" shapeId="0" xr:uid="{00000000-0006-0000-0B00-00001C000000}">
      <text>
        <t xml:space="preserve">Randy Oliver :
Voir Cervo 2014</t>
      </text>
    </comment>
    <comment ref="EH2" authorId="0" shapeId="0" xr:uid="{00000000-0006-0000-0B00-00001D000000}">
      <text>
        <t xml:space="preserve">Randy Oliver :
Kralj 2006 : de 9 à 30 % des abeilles infestées qui sortent ne reviennent pas.</t>
      </text>
    </comment>
    <comment ref="EK2" authorId="0" shapeId="0" xr:uid="{00000000-0006-0000-0B00-00001E000000}">
      <text>
        <t xml:space="preserve">Randy Oliver :
Je vois maintenant qu’il faut recalculer ceci pour refléter le pourcentage de varroas ayant survécu assez longtemps pour accomplir 3 cycles reproductifs, en fonction de la durée phorétique appropriée et de la mortalité naturelle.
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
De Ruijter (1987) a constaté qu’un varroa peut potentiellement accomplir 6 cycles reproductifs. Cependant, peu de varroas le font probablement.
Donze (1996) a constaté qu’un varroa bien fécondé contient environ 30 spermatozoïdes dans sa spermathèque.
Comme un varroa pond habituellement 4 œufs par cycle, il semble qu’un seul spermatozoïde soit utilisé pour féconder chaque œuf.
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
.</t>
      </text>
    </comment>
    <comment ref="EL2" authorId="0" shapeId="0" xr:uid="{00000000-0006-0000-0B00-00001F000000}">
      <text>
        <t xml:space="preserve">Randy Oliver :
Valeurs issues du tableau de vieillissement des varroas ci-dessous, fondées sur l’hypothèse arbitraire que les varroas âgés de plus de 75 jours sont probablement incapables de se reproduire.
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
Il faudrait peut-être ramener cette durée de 75 jours à 60 jours, ce qui représenterait plus fidèlement 3 cycles reproductifs. Mais lorsque je le fais, le taux logarithmique quotidien r global devient un peu trop faible.</t>
      </text>
    </comment>
    <comment ref="BC3" authorId="0" shapeId="0" xr:uid="{00000000-0006-0000-0B00-000020000000}">
      <text>
        <t xml:space="preserve">Randy Oliver :
Voir le commentaire au niveau du calcul</t>
      </text>
    </comment>
    <comment ref="BI21" authorId="0" shapeId="0" xr:uid="{00000000-0006-0000-0B00-000021000000}">
      <text>
        <t xml:space="preserve">Randy Oliver :
Si 80 % des varroas sont dans le couvain et si 70 % des ouvrières partent avec l’essaim, celui-ci n’emporterait qu’environ 15 % des varroas, laissant 85 % sur place. Wilde a constaté que les essaims emportaient environ 25 % des varroas.
Jerzy Wilde, Stefan Fuchs, Janusz Bratkowski &amp; Maciej Siuda (2005). Répartition de Varroa destructor entre les essaims et les colonies. Journal of Apicultural Research 44:4, 190–194.
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
Seeley, TD &amp; ML Smith (2015). Le regroupement dense des colonies d’abeilles dans les ruchers peut accroître leur vulnérabilité à l’ectoparasite mortel Varroa destructor. Apidologie 46:716–727.</t>
      </text>
    </comment>
    <comment ref="BU36" authorId="0" shapeId="0" xr:uid="{00000000-0006-0000-0B00-000022000000}">
      <text>
        <t xml:space="preserve">Randy Oliver :
Intervalles de 365/24 jours</t>
      </text>
    </comment>
    <comment ref="BE38" authorId="0" shapeId="0" xr:uid="{00000000-0006-0000-0B00-000023000000}">
      <text>
        <t xml:space="preserve">Randy Oliver :
Les utilisateurs avancés peuvent saisir des valeurs personnalisées pour effectuer des analyses de sensibilité.</t>
      </text>
    </comment>
    <comment ref="AZ40" authorId="0" shapeId="0" xr:uid="{00000000-0006-0000-0B00-000024000000}">
      <text>
        <t xml:space="preserve">Randy Oliver :
Ce nombre est souvent désigné par le terme « valeur sélective » (fitness). Une fondatrice dans une cellule d’ouvrière peut potentiellement produire un peu plus de 2 filles, mais diverses études indiquent que le nombre observé est généralement inférieur.
Voir le graphique du Dr Stephen Martin dans l’onglet Croissance comparée, ainsi que :
Al Ghamdi, A et R Hoopingarner (2003) Biologie reproductive de Varroa jacobsoni Oud. dans le couvain d’ouvrières et de mâles de l’abeille Apis mellifera L. dans les conditions du Michigan. Pakistan Journal of Biological Sciences 6 (8): 756-761.
Kuster (2014) Dynamique des transcrits des gènes immunitaires et viraux lors de l’infestation parasitaire par Varroa destructor des nymphes d’abeilles (Apis mellifera) en développement.
doi:10.1242/jeb.097766
Une synthèse plus récente est celle de Xie, X. et al. (2016) Pourquoi les varroas préfèrent-ils les abeilles nourrices ? Sci. Rep. 6, 28228 ; doi: 10.1038/srep28228.</t>
      </text>
    </comment>
    <comment ref="AW41" authorId="0" shapeId="0" xr:uid="{00000000-0006-0000-0B00-000025000000}">
      <text>
        <t xml:space="preserve">Randy Oliver :
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
Ces variables pourraient certainement être détaillées davantage pour examiner plus précisément les mécanismes de résistance, mais le résultat net se retrouve dans le taux reproductif effectif net, à droite.
</t>
      </text>
    </comment>
    <comment ref="BE44" authorId="0" shapeId="0" xr:uid="{00000000-0006-0000-0B00-000026000000}">
      <text>
        <t xml:space="preserve">Randy Oliver :
La valeur de 0,005 provient de la synthèse de Martin ; plus récemment, Desiai a estimé la mortalité quotidienne hivernale à 0,0025–0,004.
Desai (2014), L’impact potentiel des agents pathogènes sur les colonies d’abeilles domestiques, Apis mellifera L., et les possibilités de lutte contre ces agents, fig. 4.5.
</t>
      </text>
    </comment>
    <comment ref="BB45" authorId="0" shapeId="0" xr:uid="{00000000-0006-0000-0B00-000027000000}">
      <text>
        <t xml:space="preserve">Randy Oliver :
(0–7 %, d’après Andino 2011.) Pour réussir, les varroas doivent continuellement passer sur des ouvrières plus jeunes lorsque leurs « montures » vieillissent et partent mourir à l’extérieur, ou lorsque les corps gras de l’abeille hôte sont épuisés.
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
Voir les travaux récents de Desai (commentaire ci-dessous), ainsi que ceux du laboratoire Perdue et sur les « abeilles mordeuses de varroas ».
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
Il nous faut clairement davantage de recherches pour quantifier l’effet de l’augmentation apparente du toilettage et de la « morsure des varroas » sur la mortalité quotidienne des varroas phorétiques.</t>
      </text>
    </comment>
    <comment ref="BZ45" authorId="0" shapeId="0" xr:uid="{00000000-0006-0000-0B00-000028000000}">
      <text>
        <t xml:space="preserve">Randy Oliver :
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t>
      </text>
    </comment>
    <comment ref="BG46" authorId="0" shapeId="0" xr:uid="{00000000-0006-0000-0B00-000029000000}">
      <text>
        <t xml:space="preserve">Randy Oliver :
Estimation approximative étayée par Kraus 1993, Cervo 2014, DeGrandi-Hoffman 2016. Mes propres essais (2) suggèrent 0,5–1.
Mon analyse de la figure 1 de Xie suggère que cette valeur serait en moyenne de 75 %.
Xie, X. et al. Pourquoi les varroas préfèrent-ils les abeilles nourrices ? Sci. Rep. 6, 28228 ; doi: 10.1038/srep28228 (2016).</t>
      </text>
    </comment>
    <comment ref="BF47" authorId="0" shapeId="0" xr:uid="{00000000-0006-0000-0B00-00002A000000}">
      <text>
        <t xml:space="preserve">Randy Oliver :
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t>
      </text>
    </comment>
    <comment ref="BD48" authorId="0" shapeId="0" xr:uid="{00000000-0006-0000-0B00-00002B000000}">
      <text>
        <t xml:space="preserve">Randy Oliver :
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
Leurs données suggèrent que, dans certaines colonies, une période phorétique plus longue réduit la proportion de varroas présents dans le couvain. Le tableau 2 suggère que cette valeur pourrait être augmentée jusqu’à 25 jours, ce qui serait probablement une valeur extrême.
Voir Vandame 2003, Niveaux de compatibilité dans une nouvelle association hôte–parasite : Apis mellifera/Varroa jacobsoni. Les abeilles européennes (EHB) présentaient un rapport plus élevé entre durée phorétique et durée dans le couvain, ainsi qu’une faible valeur de r.
Le modèle est extrêmement sensible aux ajustements de cette valeur !
</t>
      </text>
    </comment>
  </commentList>
</comments>
</file>

<file path=xl/sharedStrings.xml><?xml version="1.0" encoding="utf-8"?>
<sst xmlns="http://schemas.openxmlformats.org/spreadsheetml/2006/main" count="1583" uniqueCount="405">
  <si>
    <t xml:space="preserve">© Randy Oliver 2016</t>
  </si>
  <si>
    <t xml:space="preserve">Entrées et conversions de l’onglet Profils de colonie</t>
  </si>
  <si>
    <t xml:space="preserve">Valeurs calculées</t>
  </si>
  <si>
    <t xml:space="preserve">Calculs pour le couvain de mâles</t>
  </si>
  <si>
    <t xml:space="preserve">Calculs pour le couvain d’ouvrières</t>
  </si>
  <si>
    <t xml:space="preserve">Taux logarithmique quotidien r potentiel</t>
  </si>
  <si>
    <t xml:space="preserve">Taux reproductif potentiel</t>
  </si>
  <si>
    <t xml:space="preserve">Population de varroas</t>
  </si>
  <si>
    <t xml:space="preserve">Gain de varroas</t>
  </si>
  <si>
    <t xml:space="preserve">Pertes de varroas</t>
  </si>
  <si>
    <t xml:space="preserve">Calcul du comptage par lavage à l’alcool, en supposant 315 abeilles par échantillon</t>
  </si>
  <si>
    <t xml:space="preserve">Calcul des pertes de varroas par dérive hors de la ruche</t>
  </si>
  <si>
    <t xml:space="preserve">Ajustement de r lié au vieillissement des varroas</t>
  </si>
  <si>
    <t xml:space="preserve">sb</t>
  </si>
  <si>
    <t xml:space="preserve">commentaire</t>
  </si>
  <si>
    <t xml:space="preserve">Dans cette ligne, j’ai placé des notes et des validations des calculs sous forme de commentaires. Ceux qui sont surlignés en rouge demandent un examen plus approfondi →</t>
  </si>
  <si>
    <t xml:space="preserve">Commentaire</t>
  </si>
  <si>
    <t xml:space="preserve">Date de début de la période</t>
  </si>
  <si>
    <t xml:space="preserve">Population de varroas au début de la période</t>
  </si>
  <si>
    <t xml:space="preserve">Taux logarithmique quotidien net d’accroissement des varroas (r)</t>
  </si>
  <si>
    <t xml:space="preserve">Arrivées de varroas par dérive (immigration)</t>
  </si>
  <si>
    <t xml:space="preserve">% estimé de cellules d’ouvrières envahies (effondrement habituel si &gt; 30 %)</t>
  </si>
  <si>
    <t xml:space="preserve">% estimé de varroas phorétiques (pour les calculs d’efficacité des traitements)</t>
  </si>
  <si>
    <t xml:space="preserve">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t>
  </si>
  <si>
    <t xml:space="preserve">Les valeurs en vert correspondent aux données choisies par l’utilisateur</t>
  </si>
  <si>
    <t xml:space="preserve">DATE</t>
  </si>
  <si>
    <t xml:space="preserve">Nombre saisi de cadres couverts d’abeilles adultes</t>
  </si>
  <si>
    <t xml:space="preserve">Nombre calculé d’abeilles adultes</t>
  </si>
  <si>
    <t xml:space="preserve">Nombre de cadres de couvain saisi</t>
  </si>
  <si>
    <t xml:space="preserve">Nombre de cellules de couvain calculé*</t>
  </si>
  <si>
    <t xml:space="preserve">Rapport couvain / abeilles</t>
  </si>
  <si>
    <t xml:space="preserve">Nombre total calculé de nymphes</t>
  </si>
  <si>
    <t xml:space="preserve">Nombre calculé de nymphes d’ouvrières parasitées</t>
  </si>
  <si>
    <t xml:space="preserve">Larves de 8 jours</t>
  </si>
  <si>
    <t xml:space="preserve">Durée approximative de phorésie en jours (d’après Boot)</t>
  </si>
  <si>
    <t xml:space="preserve">Cycle reproductif moyen du varroa (dans le couvain d’ouvrières)</t>
  </si>
  <si>
    <t xml:space="preserve">% de varroas phorétiques</t>
  </si>
  <si>
    <t xml:space="preserve">% de varroas dans le couvain</t>
  </si>
  <si>
    <t xml:space="preserve">Nombre de varroas dans le couvain</t>
  </si>
  <si>
    <t xml:space="preserve">Cellules de couvain operculé</t>
  </si>
  <si>
    <t xml:space="preserve">% de couvain de mâles saisi, en surface</t>
  </si>
  <si>
    <t xml:space="preserve">% de couvain mâle converti en proportion de cellules</t>
  </si>
  <si>
    <t xml:space="preserve">% estimé des varroas reproducteurs présents dans le couvain mâle</t>
  </si>
  <si>
    <t xml:space="preserve">% de l’ensemble des varroas présents dans le couvain mâle</t>
  </si>
  <si>
    <t xml:space="preserve">Varroas dans le couvain de mâles</t>
  </si>
  <si>
    <t xml:space="preserve">Nombre moyen de varroas par cellule de mâle operculée</t>
  </si>
  <si>
    <t xml:space="preserve">Pourcentage de cellules de mâles envahies</t>
  </si>
  <si>
    <t xml:space="preserve">Nombre moyen de varroas par cellule de mâle infestée</t>
  </si>
  <si>
    <t xml:space="preserve">Durée moyenne, en jours, du cycle reproductif du varroa dans le couvain mâle</t>
  </si>
  <si>
    <t xml:space="preserve">Ajustement du nombre de filles selon la densité</t>
  </si>
  <si>
    <t xml:space="preserve">R par cycle</t>
  </si>
  <si>
    <t xml:space="preserve">Taux logarithmique quotidien r des varroas dans les cellules de mâles</t>
  </si>
  <si>
    <t xml:space="preserve">% de l’ensemble des varroas dans le couvain d’ouvrières</t>
  </si>
  <si>
    <t xml:space="preserve">Cellules de couvain d’ouvrières operculé</t>
  </si>
  <si>
    <t xml:space="preserve">Varroas dans le couvain d’ouvrières</t>
  </si>
  <si>
    <t xml:space="preserve">Nombre moyen de varroas par cellule d’ouvrière operculée</t>
  </si>
  <si>
    <t xml:space="preserve">Pourcentage de cellules d’ouvrières envahies</t>
  </si>
  <si>
    <t xml:space="preserve">Nombre moyen de varroas par cellule d’ouvrière envahie</t>
  </si>
  <si>
    <t xml:space="preserve">% estimé de varroas reproducteurs dans le couvain d’ouvrières</t>
  </si>
  <si>
    <t xml:space="preserve">Durée moyenne, en jours, du cycle reproductif du varroa dans le couvain d’ouvrières</t>
  </si>
  <si>
    <t xml:space="preserve">Taux logarithmique quotidien r des varroas en cellules d’ouvrières</t>
  </si>
  <si>
    <t xml:space="preserve">Taux logarithmique quotidien r potentiel dû à la reproduction des varroas dans le couvain (mâles et ouvrières)</t>
  </si>
  <si>
    <t xml:space="preserve">Taux logarithmique quotidien r négatif dû à la mortalité des varroas</t>
  </si>
  <si>
    <t xml:space="preserve">Taux logarithmique quotidien net r dû à la reproduction et à la seule mortalité naturelle</t>
  </si>
  <si>
    <t xml:space="preserve">Total des varroas au début de la période</t>
  </si>
  <si>
    <t xml:space="preserve">Varroas fécondés</t>
  </si>
  <si>
    <t xml:space="preserve">Varroas potentiellement reproducteurs après correction pour le vieillissement</t>
  </si>
  <si>
    <t xml:space="preserve">Gain net de varroas par reproduction</t>
  </si>
  <si>
    <t xml:space="preserve">Total des varroas après reproduction</t>
  </si>
  <si>
    <t xml:space="preserve">Perte de varroas par mortalité naturelle</t>
  </si>
  <si>
    <t xml:space="preserve">Varroas restants après la mortalité naturelle</t>
  </si>
  <si>
    <t xml:space="preserve">Arrivées de varroas sélectionnées (immigration)</t>
  </si>
  <si>
    <t xml:space="preserve">Nombre (négatif) de varroas emportés par les abeilles qui ne reviennent pas</t>
  </si>
  <si>
    <t xml:space="preserve">Variation nette des varroas par période due à la dérive entrante et sortante</t>
  </si>
  <si>
    <t xml:space="preserve">Total des varroas avant l’effet du traitement</t>
  </si>
  <si>
    <t xml:space="preserve">% du total des varroas tués par le traitement</t>
  </si>
  <si>
    <t xml:space="preserve">Nombre de varroas éliminés par le traitement</t>
  </si>
  <si>
    <t xml:space="preserve">Varroas restants à la fin de la période</t>
  </si>
  <si>
    <t xml:space="preserve">Taux logarithmique quotidien r net pour la période</t>
  </si>
  <si>
    <t xml:space="preserve">Nombre de varroas phorétiques</t>
  </si>
  <si>
    <t xml:space="preserve">Taux d’infestation des abeilles adultes</t>
  </si>
  <si>
    <t xml:space="preserve">Comptage par lavage à l’alcool d’environ 120 mL de jeunes abeilles (½ tasse dans l’original)</t>
  </si>
  <si>
    <t xml:space="preserve">Indicateur arbitraire d’effondrement de la colonie (% de couvain infesté)</t>
  </si>
  <si>
    <t xml:space="preserve">Indicateur d’effondrement différé (comptage de varroas par lavage)</t>
  </si>
  <si>
    <t xml:space="preserve">Effondrement viral si le comptage par lavage à la mi-octobre dépasse 60 malgré le traitement</t>
  </si>
  <si>
    <t xml:space="preserve">Pour masquer les valeurs du tableau</t>
  </si>
  <si>
    <t xml:space="preserve">Nombre approximatif d’abeilles adultes émergeant par période</t>
  </si>
  <si>
    <t xml:space="preserve">Variation de la population d’abeilles adultes par période</t>
  </si>
  <si>
    <t xml:space="preserve">Mortalité nette des abeilles adultes par période</t>
  </si>
  <si>
    <t xml:space="preserve">Mortalité nette des abeilles adultes par jour</t>
  </si>
  <si>
    <t xml:space="preserve">Coefficient multiplicateur (%) pour les varroas sur les abeilles sortantes</t>
  </si>
  <si>
    <t xml:space="preserve">Perte de varroas par période sur les abeilles sorties qui ne reviennent pas</t>
  </si>
  <si>
    <t xml:space="preserve">Nouveaux varroas</t>
  </si>
  <si>
    <t xml:space="preserve">Varroas âgés de plus de 75 jours</t>
  </si>
  <si>
    <t xml:space="preserve">% de la population totale de varroas âgés de plus de 75 jours</t>
  </si>
  <si>
    <t xml:space="preserve">Dates pour les hémisphères Nord ou Sud</t>
  </si>
  <si>
    <t xml:space="preserve">Pourcentage calculé de réduction dû à un essaimage emportant 70 % des abeilles</t>
  </si>
  <si>
    <t xml:space="preserve">% de Traynor × 315</t>
  </si>
  <si>
    <t xml:space="preserve">Toutes les valeurs sont des moyennes pour chaque période de 15 jours</t>
  </si>
  <si>
    <t xml:space="preserve">Acaricide de synthèse à haute efficacité (par exemple, amitraz appliqué pendant plusieurs semaines)</t>
  </si>
  <si>
    <t xml:space="preserve">Deux traitements de 50 g d’Apiguard à 10 jours d’intervalle, dans une rehausse</t>
  </si>
  <si>
    <t xml:space="preserve">Traitement puissant à l’acide formique (diffusion progressive ou traitement flash intensif)</t>
  </si>
  <si>
    <t xml:space="preserve">Traitement unique, de faible intensité, à l’acide formique pour une réduction rapide</t>
  </si>
  <si>
    <t>15-45%</t>
  </si>
  <si>
    <t xml:space="preserve">Un seul dégouttement ou une seule sublimation d’acide oxalique dans une ruche contenant du couvain, proportionnellement au % de varroas phorétiques. 30–75 % si deux applications sont réalisées pendant la période.</t>
  </si>
  <si>
    <t>80-95%</t>
  </si>
  <si>
    <t xml:space="preserve">Acide oxalique par dégouttement ou sublimation, en l’absence de couvain</t>
  </si>
  <si>
    <t xml:space="preserve">Un seul saupoudrage de sucre, au mieux, en supposant la chute de 50 % des varroas phorétiques*</t>
  </si>
  <si>
    <t>15-20%</t>
  </si>
  <si>
    <t xml:space="preserve">Retrait complet du couvain de mâles, s’il est réalisé tôt dans la saison, à chaque retrait</t>
  </si>
  <si>
    <t xml:space="preserve">Réductions des varroas →</t>
  </si>
  <si>
    <t xml:space="preserve">Profil de colonie*</t>
  </si>
  <si>
    <t xml:space="preserve">d</t>
  </si>
  <si>
    <t xml:space="preserve">Saisir « x » ci-dessus pour l’hémisphère Sud</t>
  </si>
  <si>
    <t>~35%</t>
  </si>
  <si>
    <t xml:space="preserve">Départ d’un essaim primaire au printemps</t>
  </si>
  <si>
    <t xml:space="preserve">Population de varroas</t>
  </si>
  <si>
    <t xml:space="preserve">Arrivées de varroas (immigration)**</t>
  </si>
  <si>
    <t xml:space="preserve">Total</t>
  </si>
  <si>
    <t>~50%</t>
  </si>
  <si>
    <t xml:space="preserve">Division sans introduction de reine, ou remplacement forcé de la reine (26 jours sans ponte)</t>
  </si>
  <si>
    <t>%</t>
  </si>
  <si>
    <t xml:space="preserve">Tout dépend de la « valeur de r » : le taux logarithmique quotidien global r du 15 avril au 15 septembre dans cette simulation est égal à :</t>
  </si>
  <si>
    <t xml:space="preserve">Avec un r de 0,023, la population de varroas double chaque mois ; pour en savoir plus, faites défiler vers le bas jusqu’à :</t>
  </si>
  <si>
    <t xml:space="preserve">Taux de croissance r</t>
  </si>
  <si>
    <t xml:space="preserve">85 %, 3 fois</t>
  </si>
  <si>
    <t xml:space="preserve">Serviettes à l’acide oxalique et à la glycérine à libération prolongée ; pour le résultat final à 45 jours, saisir 85 % dans 3 cellules consécutives, à partir du moment de l’application.</t>
  </si>
  <si>
    <t xml:space="preserve">Max.</t>
  </si>
  <si>
    <t xml:space="preserve"> Total </t>
  </si>
  <si>
    <t xml:space="preserve">Ouvrière</t>
  </si>
  <si>
    <t xml:space="preserve">Cellule d’ouvrière : nombre moyen de filles par cycle (généralement 1,25–1,45 selon diverses études)</t>
  </si>
  <si>
    <t xml:space="preserve">Max</t>
  </si>
  <si>
    <t xml:space="preserve">* Profils de colonie</t>
  </si>
  <si>
    <t xml:space="preserve">Cellule d’ouvrière — % de filles viables et fécondes (plage : 0,50–0,90)</t>
  </si>
  <si>
    <t xml:space="preserve">R calculé par cycle</t>
  </si>
  <si>
    <t xml:space="preserve">Quantité de couvain</t>
  </si>
  <si>
    <t xml:space="preserve">Profil de colonie</t>
  </si>
  <si>
    <t xml:space="preserve">Mâle</t>
  </si>
  <si>
    <t xml:space="preserve">Nombre moyen de filles par cycle en cellule de mâle</t>
  </si>
  <si>
    <t xml:space="preserve">r calculé par cycle</t>
  </si>
  <si>
    <t xml:space="preserve">Date de début</t>
  </si>
  <si>
    <t xml:space="preserve">Population initiale de varroas ; les nombres de varroas des essaims sur cadres et des paquets d’abeilles seront appliqués au 1er avril.</t>
  </si>
  <si>
    <t xml:space="preserve">Cellule de mâle — % de filles viables et fécondes (plage : 0,50–0,90)</t>
  </si>
  <si>
    <t xml:space="preserve">Taux logarithmique quotidien r calculé dans la cellule. Ne pas modifier cette cellule.</t>
  </si>
  <si>
    <t xml:space="preserve">Élimination</t>
  </si>
  <si>
    <t xml:space="preserve">Arrivées de varroas (immigration)</t>
  </si>
  <si>
    <t xml:space="preserve">Mortalité de base des varroas en l’absence de couvain</t>
  </si>
  <si>
    <t xml:space="preserve">r (17 jours)</t>
  </si>
  <si>
    <t xml:space="preserve">Mortalité de base des varroas pendant l’élevage du couvain</t>
  </si>
  <si>
    <t xml:space="preserve">PERSONNALISATION DU MODÈLE (et analyse de sensibilité des facteurs de résistance au varroa)</t>
  </si>
  <si>
    <t xml:space="preserve">Taux d’infestation des abeilles sortantes par rapport à l’ensemble des adultes. Estimation approximative étayée par Kraus 1993, Cervo 2014 et DeGrandi-Hoffman 2015. Mes propres essais (2) suggèrent 0,5–1.</t>
  </si>
  <si>
    <t xml:space="preserve">Les simulations par défaut représentent des abeilles peu résistantes aux varroas ; vous pouvez personnaliser cette résistance dans la cellule AH49.</t>
  </si>
  <si>
    <t xml:space="preserve">Jours par intervalle de simulation</t>
  </si>
  <si>
    <t xml:space="preserve">(UTILISATEURS AVANCÉS UNIQUEMENT) Variables de reproduction des varroas et de résistance des abeilles : les variables suivantes sont des déterminants essentiels de la réussite reproductive des varroas et des caractères de résistance des abeilles.</t>
  </si>
  <si>
    <t xml:space="preserve">Taux logarithmique quotidien r de mortalité phorétique sans couvain. Ne pas modifier cette cellule. Voir Calatayub 1995</t>
  </si>
  <si>
    <t xml:space="preserve">Laisser cette case vide pour utiliser les valeurs par défaut en bleu, ou saisir « custom » pour modifier les valeurs des cellules vertes ci-dessous (le V rouge indiquera le changement).</t>
  </si>
  <si>
    <t xml:space="preserve">Taux logarithmique quotidien r de mortalité phorétique pendant l’élevage du couvain. Ne pas modifier cette cellule. Voir Andino 2011, Oliver, données non publiées</t>
  </si>
  <si>
    <t xml:space="preserve">Si vous modifiez ces variables, assurez-vous que le taux r obtenu reste réaliste.</t>
  </si>
  <si>
    <t xml:space="preserve">Degré d’hygiène sensible au varroa (VSH), en pourcentage</t>
  </si>
  <si>
    <t xml:space="preserve">Cellule d’ouvrière : nombre moyen de filles par cycle (« valeur sélective » ; généralement 1,2–1,5 selon diverses études).</t>
  </si>
  <si>
    <t xml:space="preserve"> = taux net de reproduction effective (nombre de filles viables et fécondées par fondatrice et par cycle reproductif). Oddie (2017) a trouvé une valeur de 1,24 pour les lignées commerciales et de 0,87 pour les lignées survivantes.</t>
  </si>
  <si>
    <t xml:space="preserve">Cellule d’ouvrière — pourcentage de filles viables et fécondées avec succès (plage habituelle : 0,50–0,90)</t>
  </si>
  <si>
    <t xml:space="preserve">Constante de l’équation du taux d’invasion des cellules ; une valeur plus faible augmente le taux logarithmique quotidien r des varroas.</t>
  </si>
  <si>
    <t xml:space="preserve">Les cellules ombrées en bleu correspondent aux varroas âgés de plus de 75 jours</t>
  </si>
  <si>
    <t xml:space="preserve">Cellule de mâle — nombre moyen de filles par cycle (habituellement 2,5–4,0)</t>
  </si>
  <si>
    <t>}</t>
  </si>
  <si>
    <t xml:space="preserve">Effet dépendant de la quantité de couvain de mâles présente.</t>
  </si>
  <si>
    <t xml:space="preserve">Facteur d’augmentation du taux d’invasion des cellules de mâles (d’après Boot) →</t>
  </si>
  <si>
    <t xml:space="preserve">Vous pouvez créer votre propre profil de colonie personnalisé dans l’onglet Profils de colonie</t>
  </si>
  <si>
    <t xml:space="preserve">Cellule de mâle — % de filles viables et fécondes (plage habituelle : 0,50–0,90)</t>
  </si>
  <si>
    <t xml:space="preserve">Cellules de couvain d’ouvrières pour un cadre couvert de couvain à 65 %</t>
  </si>
  <si>
    <t xml:space="preserve">Mortalité de base des varroas par jour sans couvain (habituellement environ 0,005 ; abeilles à longue durée de vie). La mortalité quotidienne peut être influencée par l’intensité du comportement de toilettage.</t>
  </si>
  <si>
    <t xml:space="preserve">Abeilles adultes par cadre couvert (total des deux faces), environ 227 g (1/2 lb dans l’original)</t>
  </si>
  <si>
    <t xml:space="preserve">** Niveau d’arrivées de varroas (immigration)</t>
  </si>
  <si>
    <t xml:space="preserve">Mortalité de base des varroas par jour pendant l’élevage du couvain (grappe défaite). Fortement influencée par le comportement de toilettage.</t>
  </si>
  <si>
    <t xml:space="preserve">Aucune colonie voisine</t>
  </si>
  <si>
    <t xml:space="preserve">Taux d’infestation des abeilles qui ne reviennent pas, rapporté à celui des jeunes ouvrières lorsque l’infestation est faible. Ce facteur a un effet important sur le taux global d’augmentation de la population de varroas !</t>
  </si>
  <si>
    <t xml:space="preserve">Survie habituelle de la nymphe jusqu’au stade adulte</t>
  </si>
  <si>
    <t xml:space="preserve">Rucher où le varroa est maîtrisé</t>
  </si>
  <si>
    <t xml:space="preserve">Facteur d’augmentation du taux d’invasion des cellules de mâles (d’après Boot). Il est peut-être surestimé, d’après mes dissections de cadres pièges à couvain de mâles en avril.</t>
  </si>
  <si>
    <t xml:space="preserve">Ruchers en difficulté avec le varroa</t>
  </si>
  <si>
    <t xml:space="preserve">Constante de l’équation du taux d’invasion des cellules : une augmentation ajoute un jour à la période phorétique du varroa et diminue la valeur de r ; voir →</t>
  </si>
  <si>
    <t xml:space="preserve">Calculs de r</t>
  </si>
  <si>
    <t xml:space="preserve">Effondrement de colonies sauvages et pillage important</t>
  </si>
  <si>
    <t xml:space="preserve">Pourcentage de réduction de la réussite reproductive des fondatrices dû aux comportements de désoperculation et de VSH. Une réduction de 50 % confère une forte résistance.</t>
  </si>
  <si>
    <t xml:space="preserve">r(cycle) =</t>
  </si>
  <si>
    <t xml:space="preserve">(1 fondatrice + (nombre attendu de filles × succès reproductif)) × probabilité que chacune envahisse de nouveau une cellule. Le résultat est inférieur à celui de Martin, mais aboutit à un r réaliste de 0,024 pour un cycle de 17 jours</t>
  </si>
  <si>
    <t xml:space="preserve">Quartier urbain où les colonies ne sont pas traitées</t>
  </si>
  <si>
    <t xml:space="preserve">X</t>
  </si>
  <si>
    <t xml:space="preserve">Pour personnaliser vous-même : aller à l’onglet « Immigration de varroas ».</t>
  </si>
  <si>
    <t xml:space="preserve">Indicateur arbitraire d’effondrement : taux d’infestation du couvain d’ouvrières</t>
  </si>
  <si>
    <t xml:space="preserve">Indicateur arbitraire d’effondrement : comptage de varroas par lavage d’abeilles adultes</t>
  </si>
  <si>
    <t xml:space="preserve">Jours de phorésie</t>
  </si>
  <si>
    <t xml:space="preserve">Jours/cycle</t>
  </si>
  <si>
    <t xml:space="preserve">r par cycle</t>
  </si>
  <si>
    <t xml:space="preserve">Hypothèse : </t>
  </si>
  <si>
    <t xml:space="preserve">filles</t>
  </si>
  <si>
    <t xml:space="preserve">Hypothèse : </t>
  </si>
  <si>
    <t xml:space="preserve">succès reproductif</t>
  </si>
  <si>
    <t xml:space="preserve">Tout repose sur le « taux logarithmique quotidien r » : sa moyenne du 15 avril au 15 septembre dans cette simulation est de </t>
  </si>
  <si>
    <t xml:space="preserve">Survie de la fondatrice à l’émergence</t>
  </si>
  <si>
    <t xml:space="preserve">Remarque importante : la valeur de r des varroas dépend de leur densité ; plus les varroas sont nombreux, plus leur croissance est lente. Vérifiez bien votre valeur de r avec une faible population initiale de varroas.</t>
  </si>
  <si>
    <t xml:space="preserve">R(cycle)=</t>
  </si>
  <si>
    <t xml:space="preserve">Le taux logarithmique quotidien d’augmentation des varroas pendant la phase de croissance linéaire de la colonie, pour des lignées commerciales non résistantes, se situe habituellement entre 0,015 et 0,023 (mais peut atteindre 0,030 avec l’immigration).</t>
  </si>
  <si>
    <t xml:space="preserve">r (cycle) =</t>
  </si>
  <si>
    <t xml:space="preserve">Varroas âgés</t>
  </si>
  <si>
    <t xml:space="preserve">Consultez le tableau ci-dessous pour voir combien de temps il faut à la population de varroas pour doubler lorsque les valeurs de r diminuent.</t>
  </si>
  <si>
    <t xml:space="preserve">r quotidien maximal théorique =</t>
  </si>
  <si>
    <t xml:space="preserve">Plage habituelle</t>
  </si>
  <si>
    <t xml:space="preserve">Total des varroas</t>
  </si>
  <si>
    <t xml:space="preserve">Cycle de 17 jours</t>
  </si>
  <si>
    <t xml:space="preserve">% de varroas âgés</t>
  </si>
  <si>
    <t xml:space="preserve">r</t>
  </si>
  <si>
    <t xml:space="preserve">Jours nécessaires au doublement de la population de varroas</t>
  </si>
  <si>
    <t xml:space="preserve">Comparaison avec quelques taux logarithmiques quotidiens r publiés dans la littérature</t>
  </si>
  <si>
    <t xml:space="preserve">Source</t>
  </si>
  <si>
    <t xml:space="preserve">Année</t>
  </si>
  <si>
    <t xml:space="preserve">r (quotidien)</t>
  </si>
  <si>
    <t xml:space="preserve">Ne pas déplacer</t>
  </si>
  <si>
    <t xml:space="preserve">Succès reproductif (Martin)</t>
  </si>
  <si>
    <t xml:space="preserve">Harris, Harbo, Villa, Danka 2003</t>
  </si>
  <si>
    <t xml:space="preserve">Hypothèse</t>
  </si>
  <si>
    <t xml:space="preserve">DeGuzman 2007, abeilles italiennes de Baton Rouge</t>
  </si>
  <si>
    <t xml:space="preserve">Pour doubler la population de varroas chaque mois</t>
  </si>
  <si>
    <t xml:space="preserve">Harbo, Harris 1999, colonie la moins performante</t>
  </si>
  <si>
    <t xml:space="preserve">Harris, Harbo, Villa, Danka 2014</t>
  </si>
  <si>
    <t xml:space="preserve">Harris, Harbo, Villa, Danka 2004</t>
  </si>
  <si>
    <t xml:space="preserve">Plage habituelle pour les lignées commerciales</t>
  </si>
  <si>
    <t xml:space="preserve">Harris, Harbo, Villa, Danka 2008</t>
  </si>
  <si>
    <t xml:space="preserve">Mortalité quotidienne pendant la période phorétique sans reproduction</t>
  </si>
  <si>
    <t xml:space="preserve">Danka 1999 — 16 jours</t>
  </si>
  <si>
    <t xml:space="preserve">par jour</t>
  </si>
  <si>
    <t xml:space="preserve">Survie</t>
  </si>
  <si>
    <t xml:space="preserve">Valeur de Martin : 0,5 %/jour</t>
  </si>
  <si>
    <t xml:space="preserve"> = r (mortalité phorétique)</t>
  </si>
  <si>
    <t xml:space="preserve">Harris, Harbo, Villa, Danka 2007</t>
  </si>
  <si>
    <t xml:space="preserve">Pourcentage de survie à 100 jours</t>
  </si>
  <si>
    <t xml:space="preserve">DeGuzman 2007 — abeilles russes de Baton Rouge</t>
  </si>
  <si>
    <t xml:space="preserve">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t>
  </si>
  <si>
    <t xml:space="preserve">Ruche californienne habituelle de Randy</t>
  </si>
  <si>
    <t xml:space="preserve">Mortalité quotidienne pendant la période de reproduction</t>
  </si>
  <si>
    <t xml:space="preserve">Harris, Harbo, Villa, Danka 2005</t>
  </si>
  <si>
    <t xml:space="preserve">Vandame — Mexique — abeilles européennes (EHB)</t>
  </si>
  <si>
    <t xml:space="preserve"> jours : totaux des cycles reproductifs</t>
  </si>
  <si>
    <t xml:space="preserve">jours</t>
  </si>
  <si>
    <t xml:space="preserve">Harris, Harbo, Villa, Danka 2015</t>
  </si>
  <si>
    <t xml:space="preserve">pourcentage</t>
  </si>
  <si>
    <t xml:space="preserve">jours de survie</t>
  </si>
  <si>
    <t xml:space="preserve">Harris, Harbo, Villa, Danka 2006</t>
  </si>
  <si>
    <t xml:space="preserve">On s’attendrait donc à ce que 50 % des varroas soient encore vivants après 3 cycles reproductifs.</t>
  </si>
  <si>
    <t xml:space="preserve">Harbo, Harris 1999 — colonie moyenne</t>
  </si>
  <si>
    <t xml:space="preserve">En tenant compte de la mortalité phorétique supplémentaire, une mortalité quotidienne de 1 % pendant la période reproductive donne un résultat à peu près juste.</t>
  </si>
  <si>
    <t xml:space="preserve">Vandame 2000 — abeilles européennes (EHB) au Mexique</t>
  </si>
  <si>
    <t xml:space="preserve">Harris, Harbo, Villa, Danka 2013</t>
  </si>
  <si>
    <t xml:space="preserve">Harris, Harbo, Villa, Danka 2009</t>
  </si>
  <si>
    <t xml:space="preserve">Harbo, Harris 1999 — moyenne des colonies résistantes</t>
  </si>
  <si>
    <t xml:space="preserve">Notre objectif</t>
  </si>
  <si>
    <t xml:space="preserve">Le maximum est d’environ 3</t>
  </si>
  <si>
    <t xml:space="preserve">Valeurs extraites du graphique de Boot</t>
  </si>
  <si>
    <t xml:space="preserve">Estimations approximatives</t>
  </si>
  <si>
    <t xml:space="preserve">Valeurs calculées de la durée phorétique, en jours</t>
  </si>
  <si>
    <t xml:space="preserve">Harris, Harbo, Villa, Danka 2012</t>
  </si>
  <si>
    <t xml:space="preserve">Larves de 8 jours pour 8 000 abeilles</t>
  </si>
  <si>
    <t xml:space="preserve">couvain : abeilles</t>
  </si>
  <si>
    <t xml:space="preserve">Cycle reproductif approximatif</t>
  </si>
  <si>
    <t xml:space="preserve">Ordonnée à l’origine</t>
  </si>
  <si>
    <t xml:space="preserve">Harris, Harbo, Villa, Danka 2010</t>
  </si>
  <si>
    <t xml:space="preserve">Harris, Harbo, Villa, Danka 2011</t>
  </si>
  <si>
    <t xml:space="preserve">Exposant</t>
  </si>
  <si>
    <t xml:space="preserve">Harbo, Harris 1999 — colonie la plus résistante</t>
  </si>
  <si>
    <t xml:space="preserve">© Randy Oliver 2016, 2017, 2018, 2019, 2020</t>
  </si>
  <si>
    <t xml:space="preserve">Densités d’ouvrières ajustées par rayon</t>
  </si>
  <si>
    <t xml:space="preserve">Nymphes par abeille adulte</t>
  </si>
  <si>
    <t xml:space="preserve">INSTRUCTIONS POUR ADAPTER LA COLONIE AUX CONDITIONS LOCALES, À LA CONDUITE, À L’ESSAIMAGE, ETC.</t>
  </si>
  <si>
    <t xml:space="preserve">Hypothèses</t>
  </si>
  <si>
    <t xml:space="preserve">Vous pouvez personnaliser votre colonie. Vous pouvez modifier la valeur de toute</t>
  </si>
  <si>
    <t xml:space="preserve">cellule jaune</t>
  </si>
  <si>
    <t xml:space="preserve">ci-dessous.</t>
  </si>
  <si>
    <t xml:space="preserve">abeilles adultes par cadre de corps entièrement couvert</t>
  </si>
  <si>
    <t xml:space="preserve">Allez au tableau de personnalisation approprié dans la colonne B. Vous avez les choix suivants :</t>
  </si>
  <si>
    <t xml:space="preserve">cellules de couvain par cadre de corps couvert à 65 % de couvain</t>
  </si>
  <si>
    <t xml:space="preserve">D</t>
  </si>
  <si>
    <t xml:space="preserve">Courbe par défaut (non personnalisable) servant de référence.</t>
  </si>
  <si>
    <t xml:space="preserve">N</t>
  </si>
  <si>
    <t xml:space="preserve">Départ avec un essaim sur cadres (généralement 4–5 cadres d’abeilles et 1–3 cadres de couvain)</t>
  </si>
  <si>
    <t xml:space="preserve">P</t>
  </si>
  <si>
    <t xml:space="preserve">Départ avec un paquet d’abeilles d’environ 1,36 kg (3 lb dans l’original) ; le nombre initial de varroas se situe généralement entre 12 et 600 : saisissez cette valeur sur la page d’accueil</t>
  </si>
  <si>
    <t xml:space="preserve">A</t>
  </si>
  <si>
    <t xml:space="preserve">À personnaliser vous-même.</t>
  </si>
  <si>
    <t xml:space="preserve">B</t>
  </si>
  <si>
    <t xml:space="preserve">Colonie de haute latitude avec une rupture de couvain de 5 mois</t>
  </si>
  <si>
    <t xml:space="preserve">C</t>
  </si>
  <si>
    <t xml:space="preserve">Colonie de pollinisation des amandiers de Californie, conduite pour atteindre 8 cadres à l’entrée en floraison ; prélèvement par secouage d’environ 2,27 kg d’abeilles (5 lb dans l’original), deux fois en avril.</t>
  </si>
  <si>
    <t xml:space="preserve">R</t>
  </si>
  <si>
    <t xml:space="preserve">Abeilles de Randy utilisées pour les amandiers, colonie divisée en 4 à la fin mars.</t>
  </si>
  <si>
    <t xml:space="preserve">S</t>
  </si>
  <si>
    <t xml:space="preserve">Colonie qui essaime en avril.</t>
  </si>
  <si>
    <t xml:space="preserve">F</t>
  </si>
  <si>
    <t xml:space="preserve">Colonie sauvage dans une cavité de 40 litres, essaimant deux fois (d’après Loftus 2016 doi:10.1371/
journal.pone.0150362).</t>
  </si>
  <si>
    <t xml:space="preserve">Saisissez d’abord des valeurs pour les températures froides (colonne C), un fort apport de pollen ou des températures élevées. Ces conditions environnementales apparaîtront</t>
  </si>
  <si>
    <t xml:space="preserve">sur le graphique de droite, et vous aider à tracer les valeurs des abeilles adultes, du couvain et du couvain de mâles (les colonies ne se développent généralement que pendant les apports de pollen).</t>
  </si>
  <si>
    <t xml:space="preserve">Le nombre de cadres entièrement couverts d’abeilles adultes provient de l’observation personnelle, tout comme le nombre de cadres de couvain.</t>
  </si>
  <si>
    <t xml:space="preserve">Sachez que la plupart des apiculteurs surestiment la force de leurs ruches : peu de colonies dépassent 25 cadres d’abeilles adultes (22,5 cadres est plus raisonnable).</t>
  </si>
  <si>
    <t xml:space="preserve">De même pour la quantité de couvain. Une bonne reine* pondant au rythme de :</t>
  </si>
  <si>
    <t xml:space="preserve">(valeur suggérée : 1 500)</t>
  </si>
  <si>
    <t xml:space="preserve">par jour, multiplié par 20 jours de développement, peut produire un maximum de</t>
  </si>
  <si>
    <t xml:space="preserve">cadres couverts à 65 % de couvain. Veillez à inclure toute reprise du couvain liée aux apports de pollen d’automne.</t>
  </si>
  <si>
    <t xml:space="preserve">En observant les courbes de croissance du graphique, vous pouvez ensuite lisser les valeurs saisies.</t>
  </si>
  <si>
    <t xml:space="preserve">*Une reine exceptionnelle peut pondre 2000 œufs par jour (2500 sur de courtes périodes) ; une reine moins bonne, 1000.</t>
  </si>
  <si>
    <t xml:space="preserve">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t>
  </si>
  <si>
    <t xml:space="preserve">une population maximale d’environ</t>
  </si>
  <si>
    <t xml:space="preserve">abeilles, ce qui équivaut approximativement à</t>
  </si>
  <si>
    <t xml:space="preserve">cadres d’abeilles (il s’agirait d’une colonie exceptionnellement grande, que l’on rencontre généralement seulement dans le nord du Midwest ou au Canada).</t>
  </si>
  <si>
    <t xml:space="preserve">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t>
  </si>
  <si>
    <t xml:space="preserve">Je ne comprends pas encore pourquoi les colonies des prairies du nord de l’Amérique du Nord deviennent plus grandes qu’en Californie.</t>
  </si>
  <si>
    <t xml:space="preserve">Remarque : une ruche très peuplée (par exemple avant l’essaimage) peut contenir plus de 2 000 abeilles par cadre, jusqu’à 2 500 ; une ruche sur deux corps peut donc contenir plus de l’équivalent de 20 cadres d’abeilles.</t>
  </si>
  <si>
    <t xml:space="preserve">Remarque importante : si votre colonie personnalisée essaime ou est divisée, vous devez saisir la réduction correspondante des varroas comme un traitement, à cette date, sur la page d’accueil.</t>
  </si>
  <si>
    <t xml:space="preserve">Suggestions : placer le pointeur sur n’importe quel point d’une courbe pour connaître la cellule à laquelle il correspond. Vous pouvez ensuite modifier la valeur de cette cellule pour lisser votre courbe.</t>
  </si>
  <si>
    <t xml:space="preserve">Pourcentage de cellules de mâles : estimez-le par surface, et non en comptant réellement les cellules. Généralement 5 % au maximum, mais il peut atteindre 20 % si l’on ajoute des rayons de mâles.</t>
  </si>
  <si>
    <t xml:space="preserve">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t>
  </si>
  <si>
    <t xml:space="preserve">D : colonie par défaut en climat tempéré, conduite pour éviter l’essaimage (légère reprise du couvain en automne)</t>
  </si>
  <si>
    <t xml:space="preserve">Saisir « 1 » si la période est trop froide pour le butinage (peu d’élevage de couvain)</t>
  </si>
  <si>
    <t xml:space="preserve">Saisissez « 1 » si la période comporte un fort apport de pollen ou de nectar (élevage important de couvain et production importante de mâles)</t>
  </si>
  <si>
    <t xml:space="preserve">Date pour l’hémisphère NORD</t>
  </si>
  <si>
    <t xml:space="preserve">Date pour l’hémisphère SUD</t>
  </si>
  <si>
    <t xml:space="preserve">Nombre observé de cadres contenant du couvain (en supposant une couverture moyenne de 65 %)</t>
  </si>
  <si>
    <t xml:space="preserve">Vérification : ponte quotidienne calculée (au-delà de 1 500, le nombre de cadres de couvain est probablement surestimé)</t>
  </si>
  <si>
    <t xml:space="preserve">Nombre observé de cadres couverts d’abeilles. Stable en hiver, il baisse lors du renouvellement printanier, puis augmente d’environ 4 cadres par période jusqu’à un maximum habituel de 22–33 cadres.</t>
  </si>
  <si>
    <t xml:space="preserve">Vérification : à partir de 4 cadres de couvain, augmentation estimée de 400–500 abeilles par jour pendant 5 périodes, puis plafonnement</t>
  </si>
  <si>
    <t xml:space="preserve">% du couvain constitué de mâles (10 % au maximum, uniquement lors d’un apport intense de pollen)</t>
  </si>
  <si>
    <t xml:space="preserve">Nombre calculé d’abeilles adultes</t>
  </si>
  <si>
    <t xml:space="preserve">Nombre calculé de cellules de couvain</t>
  </si>
  <si>
    <t xml:space="preserve">% de couvain de mâles × 10 (pour le tracé du graphique)</t>
  </si>
  <si>
    <t xml:space="preserve">total des œufs pondus par an</t>
  </si>
  <si>
    <t xml:space="preserve">N : Essaim sur cadres, 5 cadres d’abeilles, 3 cadres de couvain, installé le 1er avril</t>
  </si>
  <si>
    <t xml:space="preserve">P : Colonie constituée d’un paquet d’abeilles d’environ 1,36 kg (3 lb dans l’original), installé sur des rayons bâtis et bien nourri</t>
  </si>
  <si>
    <t xml:space="preserve">A : Colonie subtropicale, climat sec ; pas de rupture hivernale de couvain — sud de la Californie</t>
  </si>
  <si>
    <t xml:space="preserve">B : Colonie de haute latitude — été court et longue rupture hivernale de couvain</t>
  </si>
  <si>
    <t xml:space="preserve">C : colonie californienne sur 8 cadres utilisée pour les amandiers, dont des abeilles sont prélevées par secouage deux fois en avril. Saisir un « traitement » de 25 % en avril pour tenir compte des varroas emportés avec ces abeilles.</t>
  </si>
  <si>
    <t xml:space="preserve">R : Ruches californiennes de Randy, divisées en 4 après la floraison des amandiers et traitées à l’acide oxalique (saisissez une réduction totale des varroas de 90 % au 1er avril, correspondant à la division en 4, au traitement oxalique et au retrait du cadre de mâles)</t>
  </si>
  <si>
    <t xml:space="preserve">S : colonie essaimant en mai ; saisir une réduction des varroas de 50–60 % par « traitement » le 15 mai.</t>
  </si>
  <si>
    <t xml:space="preserve">F : colonie sauvage limitée à une cavité de 40 litres (1 corps Langstroth), essaimant deux fois</t>
  </si>
  <si>
    <t xml:space="preserve">Valeurs par défaut</t>
  </si>
  <si>
    <t xml:space="preserve">Il n’est pas nécessaire de modifier ces cellules, mais vous pouvez le faire pour voir l’effet des caractères de résistance sur le succès reproductif des varroas, ou celui d’un comportement de toilettage accru.</t>
  </si>
  <si>
    <t xml:space="preserve">Accroissement des varroas : r(jour)</t>
  </si>
  <si>
    <t xml:space="preserve">mortalité quotidienne des varroas</t>
  </si>
  <si>
    <t xml:space="preserve">r quotidien de diminution des varroas</t>
  </si>
  <si>
    <t xml:space="preserve">Mois</t>
  </si>
  <si>
    <t xml:space="preserve">Taux logarithmique quotidien r</t>
  </si>
  <si>
    <t xml:space="preserve">% de réduction par le traitement</t>
  </si>
  <si>
    <t xml:space="preserve">Facteur global de multiplication de la population de varroas</t>
  </si>
  <si>
    <t xml:space="preserve">↑ Saisir ci-dessus le % de réduction dû au traitement</t>
  </si>
  <si>
    <t xml:space="preserve">↑ Pour une situation durable, ce facteur doit être ramené à 1</t>
  </si>
  <si>
    <t xml:space="preserve">Mois avec couvain</t>
  </si>
  <si>
    <t xml:space="preserve">↑ Saisir ci-dessus le nombre de mois avec couvain</t>
  </si>
  <si>
    <t xml:space="preserve">Voir ci-dessous la courbe de survie des varroas adultes en l’absence d’élevage de couvain</t>
  </si>
  <si>
    <t xml:space="preserve">Saisir le pourcentage de mortalité quotidienne des varroas (habituellement 0,5 %) ; format de saisie : 0,005 pour 0,5 % par jour.</t>
  </si>
  <si>
    <t xml:space="preserve">Données du graphique</t>
  </si>
  <si>
    <t xml:space="preserve">Augmentez cette valeur pour voir l’effet d’un comportement de toilettage accru.</t>
  </si>
  <si>
    <t xml:space="preserve">Jours</t>
  </si>
  <si>
    <t xml:space="preserve">Varroas</t>
  </si>
  <si>
    <t xml:space="preserve">Comparaison des degrés de résistance</t>
  </si>
  <si>
    <t xml:space="preserve">naïve</t>
  </si>
  <si>
    <t xml:space="preserve">Taux r →</t>
  </si>
  <si>
    <t xml:space="preserve">Mois</t>
  </si>
  <si>
    <t xml:space="preserve">Réglage de l’immigration</t>
  </si>
  <si>
    <t xml:space="preserve">Saisir les arrivées personnalisées de varroas</t>
  </si>
  <si>
    <t xml:space="preserve">Réglages des arrivées de varroas (immigration) →</t>
  </si>
  <si>
    <t xml:space="preserve">Total des arrivées de varroas →</t>
  </si>
  <si>
    <t xml:space="preserve">Les graphiques ci-dessous et à droite reflètent les valeurs de l’onglet « Modèle principal ».</t>
  </si>
  <si>
    <t xml:space="preserve">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 Par exemple, saisir « custom » (dans les paramètres avancés) et mettre la valeur 0,8 dans la cellule C40.</t>
  </si>
  <si>
    <t xml:space="preserve">Variation de la population de varroas (%)</t>
  </si>
  <si>
    <t xml:space="preserve">% de variation de la population d’abeilles</t>
  </si>
  <si>
    <t xml:space="preserve">Comptage de varroas par lavage d’environ 120 mL de jeunes abeilles (1/2 tasse dans l’original)</t>
  </si>
  <si>
    <t xml:space="preserve">Augmentation nette des varroas par jour</t>
  </si>
  <si>
    <t xml:space="preserve">Saisissez le taux logarithmique quotidien r</t>
  </si>
  <si>
    <t xml:space="preserve">Jour</t>
  </si>
  <si>
    <t xml:space="preserve">10 varroas</t>
  </si>
  <si>
    <t xml:space="preserve">Taux logarithmique quotidien r des varroas</t>
  </si>
  <si>
    <t xml:space="preserve">Taux logarithmique quotidien r des abeilles adultes</t>
  </si>
  <si>
    <t xml:space="preserve">Variation absolue de la population de varroas</t>
  </si>
  <si>
    <t xml:space="preserve">Variation de la population de varroas indépendante du traitement</t>
  </si>
  <si>
    <t xml:space="preserve">25 varroas</t>
  </si>
  <si>
    <t xml:space="preserve">50 varroas</t>
  </si>
  <si>
    <t xml:space="preserve">100 varroas</t>
  </si>
  <si>
    <t xml:space="preserve">150 varroas</t>
  </si>
  <si>
    <t xml:space="preserve">https://doi.org/10.1080/00218839.2018.1494921</t>
  </si>
  <si>
    <t xml:space="preserve">En Italie, à la fin de l’été, 40–48 % de la somme suivante — chute naturelle totale de varroas sur 25 jours + total des varroas tombés à la suite d’un traitement puissant sur 6 semaines — sont tombés pendant ces 25 jours.</t>
  </si>
  <si>
    <t xml:space="preserve">Boot 1995 — Le temps passé sur les abeilles adultes affecte-t-il le succès reproductif des varroas ?</t>
  </si>
  <si>
    <t xml:space="preserve">Saisissez « B » pour une rupture de couvain</t>
  </si>
  <si>
    <t xml:space="preserve">Indicateur arbitraire d’effondrement de la colonie (avec couvain)</t>
  </si>
  <si>
    <t xml:space="preserve">Indicateur arbitraire d’effondrement de la colonie (sans couvain)</t>
  </si>
  <si>
    <t xml:space="preserve">Effondrement viral si comptage par lavage du 15 septembre &gt; 60, malgré le traitement</t>
  </si>
  <si>
    <t>15-45</t>
  </si>
  <si>
    <t>80-95</t>
  </si>
  <si>
    <t>15-20</t>
  </si>
  <si>
    <t xml:space="preserve">b</t>
  </si>
  <si>
    <t>40-60</t>
  </si>
  <si>
    <t xml:space="preserve">Le mot de passe pour déverrouiller une feuille de calcul est « sb ». Je recommande vivement de la reverrouiller immédiatement après toute modification, afin d’éviter les changements involontaires !</t>
  </si>
  <si>
    <t xml:space="preserve">Les simulations par défaut correspondent à des abeilles peu résistantes aux varroas ; vous pouvez personnaliser la résistance ci-dessous</t>
  </si>
  <si>
    <t xml:space="preserve">Taux arbitraire d’infestation du couvain d’ouvrières indiquant l’effondrement en présence de couvain</t>
  </si>
  <si>
    <t xml:space="preserve">Taux d’infestation arbitraire déclenchant l’effondrement sans couvain</t>
  </si>
  <si>
    <t xml:space="preserve">Taux d’infestation des abeilles sortantes par rapport à celui des jeunes adultes dans un comptage par lavage à l’alcool, lorsque l’infestation est faible. Ce facteur influence fortement le taux global d’augmentation des varroas !</t>
  </si>
  <si>
    <t xml:space="preserve">Degré d’hygiène sensible au varroa, ou VSH (pourcentage). Ce facteur a un effet important sur le nombre de filles par cycle ! Cette saisie peut sous-estimer l’effet net du VSH, car elle ne tient pas compte de la mortalité accrue des fondatrices.</t>
  </si>
  <si>
    <t xml:space="preserve">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</si>
</sst>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40C]d\-mmm;@"/>
    <numFmt numFmtId="166" formatCode="0.000"/>
    <numFmt numFmtId="167" formatCode="0.0"/>
    <numFmt numFmtId="168" formatCode="0.0%"/>
    <numFmt numFmtId="169" formatCode="0.0000"/>
    <numFmt numFmtId="170" formatCode="#,##0.000"/>
    <numFmt numFmtId="171" formatCode="#,##0.0"/>
    <numFmt numFmtId="172" formatCode="[$-40C]d\ mmm"/>
  </numFmts>
  <fonts count="66">
    <font>
      <sz val="10"/>
      <name val="Arial"/>
      <family val="2"/>
    </font>
    <font>
      <sz val="11.0"/>
      <color theme="1"/>
      <name val="Arial"/>
      <family val="2"/>
      <scheme val="minor"/>
    </font>
    <font>
      <sz val="11.0"/>
      <color theme="1"/>
      <name val="Arial"/>
      <family val="2"/>
      <scheme val="minor"/>
    </font>
    <font>
      <i/>
      <sz val="10"/>
      <name val="Arial"/>
      <family val="2"/>
    </font>
    <font>
      <b/>
      <sz val="10"/>
      <name val="Arial"/>
      <family val="2"/>
    </font>
    <font>
      <b/>
      <sz val="10"/>
      <color rgb="FFFF0000"/>
      <name val="Arial"/>
      <family val="2"/>
    </font>
    <font>
      <sz val="10"/>
      <name val="Arial"/>
      <family val="2"/>
    </font>
    <font>
      <sz val="10"/>
      <color rgb="FFFF0000"/>
      <name val="Arial"/>
      <family val="2"/>
    </font>
    <font>
      <b/>
      <sz val="10"/>
      <color rgb="FF0070C0"/>
      <name val="Arial"/>
      <family val="2"/>
    </font>
    <font>
      <b/>
      <sz val="10"/>
      <color theme="1"/>
      <name val="Arial"/>
      <family val="2"/>
    </font>
    <font>
      <sz val="10"/>
      <color theme="1"/>
      <name val="Arial"/>
      <family val="2"/>
    </font>
    <font>
      <sz val="10"/>
      <color rgb="FF00B0F0"/>
      <name val="Arial"/>
      <family val="2"/>
    </font>
    <font>
      <sz val="24.0"/>
      <name val="Arial"/>
      <family val="2"/>
    </font>
    <font>
      <sz val="18.0"/>
      <name val="Arial"/>
      <family val="2"/>
    </font>
    <font>
      <b/>
      <sz val="11.0"/>
      <color theme="1"/>
      <name val="Arial"/>
      <family val="2"/>
      <scheme val="minor"/>
    </font>
    <font>
      <b/>
      <sz val="10"/>
      <color rgb="FF002060"/>
      <name val="Arial"/>
      <family val="2"/>
    </font>
    <font>
      <sz val="10"/>
      <color rgb="FF0070C0"/>
      <name val="Arial"/>
      <family val="2"/>
    </font>
    <font>
      <sz val="10"/>
      <color theme="3"/>
      <name val="Arial"/>
      <family val="2"/>
    </font>
    <font>
      <b/>
      <i/>
      <sz val="10"/>
      <name val="Arial"/>
      <family val="2"/>
    </font>
    <font>
      <b/>
      <sz val="10"/>
      <color rgb="FF00B0F0"/>
      <name val="Arial"/>
      <family val="2"/>
    </font>
    <font>
      <sz val="10"/>
      <name val="Arial"/>
      <family val="2"/>
    </font>
    <font>
      <sz val="10"/>
      <color rgb="FF000000"/>
      <name val="Arial"/>
      <family val="2"/>
    </font>
    <font>
      <b/>
      <sz val="16.0"/>
      <name val="Arial"/>
      <family val="2"/>
    </font>
    <font>
      <sz val="24.0"/>
      <name val="Wingdings"/>
      <charset val="2"/>
    </font>
    <font>
      <sz val="18.0"/>
      <name val="Arial"/>
      <family val="2"/>
    </font>
    <font>
      <b/>
      <sz val="12.0"/>
      <name val="Arial"/>
      <family val="2"/>
    </font>
    <font>
      <sz val="16.0"/>
      <name val="Arial"/>
      <family val="2"/>
    </font>
    <font>
      <b/>
      <sz val="10"/>
      <color rgb="FFFF0000"/>
      <name val="Arial"/>
      <family val="2"/>
    </font>
    <font>
      <sz val="10"/>
      <name val="Wingdings"/>
      <charset val="2"/>
    </font>
    <font>
      <i/>
      <sz val="10"/>
      <name val="Arial"/>
      <family val="2"/>
    </font>
    <font>
      <b/>
      <sz val="10"/>
      <color rgb="FF00B050"/>
      <name val="Arial"/>
      <family val="2"/>
    </font>
    <font>
      <b/>
      <sz val="11.0"/>
      <name val="Arial"/>
      <family val="2"/>
    </font>
    <font>
      <sz val="10"/>
      <color rgb="FF00B050"/>
      <name val="Arial"/>
      <family val="2"/>
    </font>
    <font>
      <b/>
      <sz val="10"/>
      <color rgb="FF0070C0"/>
      <name val="Arial"/>
      <family val="2"/>
    </font>
    <font>
      <sz val="14.0"/>
      <name val="Wingdings"/>
      <charset val="2"/>
    </font>
    <font>
      <i/>
      <sz val="10"/>
      <color theme="1"/>
      <name val="Arial"/>
      <family val="2"/>
    </font>
    <font>
      <i/>
      <sz val="10"/>
      <color theme="1"/>
      <name val="Arial"/>
      <family val="2"/>
    </font>
    <font>
      <sz val="10"/>
      <color indexed="81"/>
      <name val="Arial"/>
      <family val="2"/>
    </font>
    <font>
      <b/>
      <sz val="10"/>
      <color indexed="81"/>
      <name val="Arial"/>
      <family val="2"/>
    </font>
    <font>
      <b/>
      <sz val="10"/>
      <name val="Wingdings"/>
      <charset val="2"/>
    </font>
    <font>
      <sz val="10"/>
      <name val="Arial"/>
      <family val="2"/>
    </font>
    <font>
      <b/>
      <i/>
      <sz val="14.0"/>
      <color theme="4"/>
      <name val="Arial"/>
      <family val="2"/>
    </font>
    <font>
      <sz val="12.0"/>
      <name val="Wingdings"/>
      <charset val="2"/>
    </font>
    <font>
      <i/>
      <sz val="10"/>
      <color indexed="81"/>
      <name val="Arial"/>
      <family val="2"/>
    </font>
    <font>
      <i/>
      <u/>
      <sz val="10"/>
      <name val="Arial"/>
      <family val="2"/>
    </font>
    <font>
      <b/>
      <i/>
      <sz val="10"/>
      <color theme="1"/>
      <name val="Arial"/>
      <family val="2"/>
    </font>
    <font>
      <b/>
      <sz val="10"/>
      <name val="Arial"/>
      <family val="2"/>
    </font>
    <font>
      <sz val="11.0"/>
      <name val="Arial"/>
      <family val="2"/>
    </font>
    <font>
      <b/>
      <sz val="10"/>
      <color rgb="FFFF0000"/>
      <name val="Arial"/>
      <family val="2"/>
    </font>
    <font>
      <b/>
      <sz val="12.0"/>
      <name val="Wingdings"/>
      <charset val="2"/>
    </font>
    <font>
      <b/>
      <sz val="14.0"/>
      <name val="Arial"/>
      <family val="2"/>
    </font>
    <font>
      <b/>
      <sz val="14.0"/>
      <color rgb="FFFF0000"/>
      <name val="Arial"/>
      <family val="2"/>
    </font>
    <font>
      <b/>
      <i/>
      <sz val="10"/>
      <color rgb="FFFF0000"/>
      <name val="Arial"/>
      <family val="2"/>
    </font>
    <font>
      <sz val="11"/>
      <name val="Carlito"/>
    </font>
    <font>
      <sz val="11"/>
      <color rgb="FF23352F"/>
      <name val="Arial"/>
    </font>
    <font>
      <b/>
      <sz val="17"/>
      <color rgb="FF23352F"/>
      <name val="Arial"/>
    </font>
    <font>
      <sz val="12"/>
      <color rgb="FF23352F"/>
      <name val="Arial"/>
    </font>
    <font>
      <sz val="11"/>
      <color rgb="FF23352F"/>
      <name val="Arial"/>
    </font>
    <font>
      <b/>
      <sz val="11"/>
      <color rgb="FF23352F"/>
      <name val="Arial"/>
    </font>
    <font>
      <b/>
      <sz val="11"/>
      <color rgb="FF24594F"/>
      <name val="Arial"/>
    </font>
    <font>
      <sz val="10"/>
      <color rgb="FF23352F"/>
      <name val="Arial"/>
    </font>
    <font>
      <sz val="10"/>
      <color rgb="FF586860"/>
      <name val="Arial"/>
    </font>
    <font>
      <sz val="11"/>
      <color rgb="FF586860"/>
      <name val="Carlito"/>
    </font>
    <font>
      <b/>
      <sz val="15"/>
      <color rgb="FF23352F"/>
      <name val="Arial"/>
    </font>
    <font>
      <b/>
      <sz val="10"/>
      <color rgb="FF23352F"/>
      <name val="Arial"/>
    </font>
    <font>
      <b/>
      <sz val="10"/>
      <color rgb="FF24594F"/>
      <name val="Arial"/>
    </font>
  </fonts>
  <fills count="2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rgb="FFB3E971"/>
        <bgColor indexed="64"/>
      </patternFill>
    </fill>
    <fill>
      <patternFill patternType="solid">
        <fgColor rgb="FFFF00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ABFF"/>
        <bgColor indexed="64"/>
      </patternFill>
    </fill>
    <fill>
      <patternFill patternType="solid">
        <fgColor rgb="FF69D8FF"/>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FF7DFF"/>
        <bgColor indexed="64"/>
      </patternFill>
    </fill>
    <fill>
      <patternFill patternType="solid">
        <fgColor theme="1"/>
        <bgColor indexed="64"/>
      </patternFill>
    </fill>
    <fill>
      <patternFill patternType="solid">
        <fgColor theme="8" tint="0.59999389629810485"/>
        <bgColor indexed="64"/>
      </patternFill>
    </fill>
    <fill>
      <patternFill patternType="solid">
        <fgColor theme="0"/>
        <bgColor indexed="64"/>
      </patternFill>
    </fill>
    <fill>
      <patternFill patternType="none"/>
    </fill>
    <fill>
      <patternFill patternType="gray125"/>
    </fill>
    <fill>
      <patternFill patternType="solid">
        <fgColor rgb="FFEDF3EF"/>
      </patternFill>
    </fill>
    <fill>
      <patternFill patternType="solid">
        <fgColor rgb="FFFFFFFF"/>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rgb="FF0070C0"/>
      </left>
      <right/>
      <top/>
      <bottom/>
      <diagonal/>
    </border>
    <border>
      <left style="thin">
        <color rgb="FF0070C0"/>
      </left>
      <right style="thin">
        <color rgb="FF0070C0"/>
      </right>
      <top style="thin">
        <color rgb="FF0070C0"/>
      </top>
      <bottom style="thin">
        <color rgb="FF0070C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ck">
        <color rgb="FFFF0000"/>
      </bottom>
      <diagonal/>
    </border>
    <border>
      <left style="thick">
        <color rgb="FFFF0000"/>
      </left>
      <right/>
      <top/>
      <bottom/>
      <diagonal/>
    </border>
    <border>
      <left style="thick">
        <color rgb="FFFF0000"/>
      </left>
      <right/>
      <top style="thick">
        <color rgb="FFFF0000"/>
      </top>
      <bottom style="thick">
        <color rgb="FFFF0000"/>
      </bottom>
      <diagonal/>
    </border>
    <border>
      <left/>
      <right/>
      <top/>
      <bottom style="thin">
        <color theme="1"/>
      </bottom>
      <diagonal/>
    </border>
    <border>
      <left style="thin">
        <color rgb="FF0070C0"/>
      </left>
      <right style="thin">
        <color rgb="FF0070C0"/>
      </right>
      <top style="thin">
        <color indexed="64"/>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1"/>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bottom style="thin">
        <color theme="1"/>
      </bottom>
      <diagonal/>
    </border>
    <border>
      <left/>
      <right style="thin">
        <color theme="1"/>
      </right>
      <top/>
      <bottom style="thin">
        <color theme="1"/>
      </bottom>
      <diagonal/>
    </border>
    <border/>
    <border>
      <bottom style="thin">
        <color rgb="FFCDDAD1"/>
      </bottom>
    </border>
  </borders>
  <cellStyleXfs count="6">
    <xf numFmtId="0" fontId="0" fillId="0" borderId="0"/>
    <xf numFmtId="0" fontId="2" fillId="0" borderId="0"/>
    <xf numFmtId="0" fontId="2" fillId="0" borderId="0"/>
    <xf numFmtId="0" fontId="1" fillId="0" borderId="0"/>
    <xf numFmtId="164" fontId="20" fillId="0" borderId="0" applyFont="0" applyFill="0" applyBorder="0" applyAlignment="0" applyProtection="0"/>
    <xf numFmtId="0" fontId="53" fillId="19" borderId="30"/>
  </cellStyleXfs>
  <cellXfs count="532">
    <xf numFmtId="0" fontId="0" fillId="0" borderId="0" xfId="0"/>
    <xf numFmtId="0" fontId="5" fillId="0" borderId="1" xfId="0" applyFont="1" applyBorder="1" applyAlignment="1">
      <alignment horizontal="center" vertical="center" wrapText="1"/>
    </xf>
    <xf numFmtId="165" fontId="0" fillId="0" borderId="1" xfId="0" applyNumberFormat="1" applyBorder="1" applyAlignment="1">
      <alignment horizontal="center"/>
    </xf>
    <xf numFmtId="9" fontId="0" fillId="0" borderId="1" xfId="0" applyNumberFormat="1" applyBorder="1" applyAlignment="1">
      <alignment horizontal="center"/>
    </xf>
    <xf numFmtId="9" fontId="5" fillId="0" borderId="1" xfId="0" applyNumberFormat="1" applyFont="1" applyBorder="1" applyAlignment="1">
      <alignment horizontal="center"/>
    </xf>
    <xf numFmtId="0" fontId="0" fillId="0" borderId="0" xfId="0" applyAlignment="1">
      <alignment horizontal="right"/>
    </xf>
    <xf numFmtId="0" fontId="4" fillId="0" borderId="0" xfId="0" applyFont="1"/>
    <xf numFmtId="0" fontId="7" fillId="0" borderId="0" xfId="0" applyFont="1"/>
    <xf numFmtId="167" fontId="8" fillId="0" borderId="1" xfId="0" applyNumberFormat="1" applyFont="1" applyBorder="1" applyAlignment="1">
      <alignment horizontal="center"/>
    </xf>
    <xf numFmtId="0" fontId="0" fillId="0" borderId="0" xfId="0" applyAlignment="1">
      <alignment horizontal="right" wrapText="1"/>
    </xf>
    <xf numFmtId="0" fontId="4" fillId="0" borderId="0" xfId="0" applyFont="1" applyAlignment="1">
      <alignment vertical="center" wrapText="1"/>
    </xf>
    <xf numFmtId="2" fontId="0" fillId="0" borderId="0" xfId="0" applyNumberFormat="1" applyAlignment="1">
      <alignment horizontal="left" vertical="center"/>
    </xf>
    <xf numFmtId="0" fontId="8" fillId="0" borderId="0" xfId="0" applyFont="1" applyAlignment="1">
      <alignment horizontal="center"/>
    </xf>
    <xf numFmtId="3" fontId="0" fillId="0" borderId="0" xfId="0" applyNumberFormat="1"/>
    <xf numFmtId="1" fontId="0" fillId="0" borderId="0" xfId="0" applyNumberFormat="1"/>
    <xf numFmtId="0" fontId="8" fillId="0" borderId="0" xfId="0" applyFont="1" applyAlignment="1">
      <alignment horizontal="center" vertical="center"/>
    </xf>
    <xf numFmtId="0" fontId="0" fillId="0" borderId="0" xfId="0" applyAlignment="1">
      <alignment wrapText="1"/>
    </xf>
    <xf numFmtId="2" fontId="0" fillId="0" borderId="0" xfId="0" applyNumberFormat="1"/>
    <xf numFmtId="9" fontId="0" fillId="0" borderId="0" xfId="0" applyNumberFormat="1" applyAlignment="1">
      <alignment horizontal="left" vertical="center"/>
    </xf>
    <xf numFmtId="1" fontId="0" fillId="0" borderId="0" xfId="0" applyNumberFormat="1" applyAlignment="1">
      <alignment horizontal="center" vertical="center" wrapText="1"/>
    </xf>
    <xf numFmtId="3" fontId="0" fillId="0" borderId="0" xfId="0" applyNumberFormat="1" applyAlignment="1">
      <alignment horizontal="center" vertical="center" wrapText="1"/>
    </xf>
    <xf numFmtId="167" fontId="0" fillId="0" borderId="0" xfId="0" applyNumberFormat="1" applyAlignment="1">
      <alignment horizontal="right"/>
    </xf>
    <xf numFmtId="1" fontId="0" fillId="0" borderId="0" xfId="0" applyNumberFormat="1" applyAlignment="1">
      <alignment horizontal="right"/>
    </xf>
    <xf numFmtId="166" fontId="0" fillId="0" borderId="0" xfId="0" applyNumberFormat="1"/>
    <xf numFmtId="167" fontId="0" fillId="0" borderId="0" xfId="0" applyNumberFormat="1"/>
    <xf numFmtId="4" fontId="0" fillId="0" borderId="0" xfId="0" applyNumberFormat="1"/>
    <xf numFmtId="9" fontId="0" fillId="0" borderId="0" xfId="0" applyNumberFormat="1" applyAlignment="1">
      <alignment horizontal="right"/>
    </xf>
    <xf numFmtId="1" fontId="0" fillId="0" borderId="0" xfId="0" applyNumberFormat="1" applyAlignment="1">
      <alignment wrapText="1"/>
    </xf>
    <xf numFmtId="166" fontId="4" fillId="0" borderId="0" xfId="0" applyNumberFormat="1" applyFont="1"/>
    <xf numFmtId="1" fontId="4" fillId="0" borderId="0" xfId="0" applyNumberFormat="1" applyFont="1"/>
    <xf numFmtId="166" fontId="4" fillId="0" borderId="0" xfId="0" applyNumberFormat="1" applyFont="1" applyAlignment="1">
      <alignment horizontal="right"/>
    </xf>
    <xf numFmtId="9" fontId="0" fillId="0" borderId="0" xfId="0" applyNumberFormat="1"/>
    <xf numFmtId="166" fontId="0" fillId="0" borderId="0" xfId="0" applyNumberFormat="1" applyAlignment="1">
      <alignment wrapText="1"/>
    </xf>
    <xf numFmtId="2" fontId="0" fillId="0" borderId="0" xfId="0" applyNumberFormat="1" applyAlignment="1">
      <alignment wrapText="1"/>
    </xf>
    <xf numFmtId="2" fontId="4" fillId="0" borderId="0" xfId="0" applyNumberFormat="1" applyFont="1"/>
    <xf numFmtId="1" fontId="0" fillId="0" borderId="0" xfId="0" applyNumberFormat="1" applyAlignment="1">
      <alignment horizontal="left" vertical="center"/>
    </xf>
    <xf numFmtId="0" fontId="0" fillId="0" borderId="0" xfId="0" applyAlignment="1">
      <alignment horizontal="center"/>
    </xf>
    <xf numFmtId="9" fontId="0" fillId="0" borderId="0" xfId="0" applyNumberFormat="1" applyAlignment="1">
      <alignment horizontal="center"/>
    </xf>
    <xf numFmtId="9" fontId="0" fillId="3" borderId="0" xfId="0" applyNumberFormat="1" applyFill="1" applyAlignment="1">
      <alignment horizontal="center"/>
    </xf>
    <xf numFmtId="0" fontId="5" fillId="0" borderId="0" xfId="0" applyFont="1" applyAlignment="1">
      <alignment horizontal="right"/>
    </xf>
    <xf numFmtId="3" fontId="0" fillId="0" borderId="0" xfId="0" applyNumberFormat="1" applyAlignment="1">
      <alignment horizontal="left"/>
    </xf>
    <xf numFmtId="10" fontId="0" fillId="0" borderId="0" xfId="0" applyNumberFormat="1"/>
    <xf numFmtId="1" fontId="0" fillId="4" borderId="0" xfId="0" applyNumberFormat="1" applyFill="1"/>
    <xf numFmtId="0" fontId="0" fillId="4" borderId="0" xfId="0" applyFill="1"/>
    <xf numFmtId="166" fontId="4" fillId="0" borderId="0" xfId="0" applyNumberFormat="1" applyFont="1" applyAlignment="1">
      <alignment horizontal="left" vertical="center"/>
    </xf>
    <xf numFmtId="0" fontId="5" fillId="0" borderId="0" xfId="0" applyFont="1" applyAlignment="1">
      <alignment horizontal="center" vertical="center" wrapText="1"/>
    </xf>
    <xf numFmtId="1" fontId="0" fillId="0" borderId="0" xfId="0" applyNumberFormat="1" applyAlignment="1">
      <alignment horizontal="center"/>
    </xf>
    <xf numFmtId="2" fontId="0" fillId="0" borderId="0" xfId="0" applyNumberFormat="1" applyAlignment="1">
      <alignment horizontal="right"/>
    </xf>
    <xf numFmtId="3" fontId="5" fillId="0" borderId="1" xfId="0" applyNumberFormat="1" applyFont="1" applyBorder="1" applyAlignment="1">
      <alignment horizontal="center"/>
    </xf>
    <xf numFmtId="0" fontId="0" fillId="0" borderId="0" xfId="0" applyAlignment="1">
      <alignment vertical="center"/>
    </xf>
    <xf numFmtId="0" fontId="4" fillId="6" borderId="1" xfId="0" applyFont="1" applyFill="1" applyBorder="1" applyAlignment="1">
      <alignment horizontal="center" vertical="center"/>
    </xf>
    <xf numFmtId="0" fontId="11" fillId="0" borderId="0" xfId="0" applyFont="1" applyAlignment="1">
      <alignment horizontal="center" vertical="center" wrapText="1"/>
    </xf>
    <xf numFmtId="1" fontId="10" fillId="6" borderId="0" xfId="0" applyNumberFormat="1" applyFont="1" applyFill="1" applyAlignment="1">
      <alignment horizontal="center" vertical="center" wrapText="1"/>
    </xf>
    <xf numFmtId="10" fontId="0" fillId="2" borderId="0" xfId="0" applyNumberFormat="1" applyFill="1"/>
    <xf numFmtId="0" fontId="16" fillId="0" borderId="0" xfId="0" applyFont="1"/>
    <xf numFmtId="0" fontId="4" fillId="0" borderId="0" xfId="0" applyFont="1" applyAlignment="1">
      <alignment horizontal="right"/>
    </xf>
    <xf numFmtId="0" fontId="0" fillId="0" borderId="0" xfId="0" applyAlignment="1">
      <alignment vertical="top" wrapText="1"/>
    </xf>
    <xf numFmtId="0" fontId="0" fillId="8" borderId="0" xfId="0" applyFill="1" applyAlignment="1">
      <alignment horizontal="center" vertical="center" wrapText="1"/>
    </xf>
    <xf numFmtId="167" fontId="0" fillId="4" borderId="0" xfId="0" applyNumberFormat="1" applyFill="1" applyAlignment="1">
      <alignment horizontal="center" vertical="center" wrapText="1"/>
    </xf>
    <xf numFmtId="1" fontId="0" fillId="4" borderId="0" xfId="0" applyNumberFormat="1" applyFill="1" applyAlignment="1">
      <alignment horizontal="right"/>
    </xf>
    <xf numFmtId="1" fontId="0" fillId="8" borderId="0" xfId="0" applyNumberFormat="1" applyFill="1" applyAlignment="1">
      <alignment horizontal="right"/>
    </xf>
    <xf numFmtId="167" fontId="0" fillId="8" borderId="0" xfId="0" applyNumberFormat="1" applyFill="1" applyAlignment="1">
      <alignment horizontal="right"/>
    </xf>
    <xf numFmtId="167" fontId="0" fillId="4" borderId="0" xfId="0" applyNumberFormat="1" applyFill="1"/>
    <xf numFmtId="9" fontId="4" fillId="8" borderId="0" xfId="0" applyNumberFormat="1" applyFont="1" applyFill="1" applyAlignment="1">
      <alignment horizontal="right"/>
    </xf>
    <xf numFmtId="9" fontId="4" fillId="4" borderId="0" xfId="0" applyNumberFormat="1" applyFont="1" applyFill="1"/>
    <xf numFmtId="166" fontId="0" fillId="8" borderId="0" xfId="0" applyNumberFormat="1" applyFill="1"/>
    <xf numFmtId="166" fontId="0" fillId="4" borderId="0" xfId="0" applyNumberFormat="1" applyFill="1"/>
    <xf numFmtId="2" fontId="0" fillId="6" borderId="0" xfId="0" applyNumberFormat="1" applyFill="1" applyAlignment="1">
      <alignment horizontal="center"/>
    </xf>
    <xf numFmtId="167" fontId="0" fillId="6" borderId="0" xfId="0" applyNumberFormat="1" applyFill="1" applyAlignment="1">
      <alignment horizontal="center"/>
    </xf>
    <xf numFmtId="0" fontId="0" fillId="5" borderId="0" xfId="0" applyFill="1"/>
    <xf numFmtId="2" fontId="0" fillId="4" borderId="0" xfId="0" applyNumberFormat="1" applyFill="1"/>
    <xf numFmtId="2" fontId="0" fillId="8" borderId="0" xfId="0" applyNumberFormat="1" applyFill="1"/>
    <xf numFmtId="0" fontId="4" fillId="0" borderId="1" xfId="0" applyFont="1" applyBorder="1" applyAlignment="1">
      <alignment horizontal="right"/>
    </xf>
    <xf numFmtId="164" fontId="0" fillId="0" borderId="0" xfId="4" applyFont="1" applyBorder="1" applyAlignment="1">
      <alignment wrapText="1"/>
    </xf>
    <xf numFmtId="1" fontId="0" fillId="9" borderId="0" xfId="0" applyNumberFormat="1" applyFill="1"/>
    <xf numFmtId="0" fontId="0" fillId="9" borderId="0" xfId="0" applyFill="1"/>
    <xf numFmtId="0" fontId="4" fillId="0" borderId="0" xfId="0" applyFont="1" applyAlignment="1">
      <alignment horizontal="center" vertical="center"/>
    </xf>
    <xf numFmtId="0" fontId="4" fillId="0" borderId="1" xfId="0" applyFont="1" applyBorder="1"/>
    <xf numFmtId="0" fontId="0" fillId="8" borderId="0" xfId="0" applyFill="1"/>
    <xf numFmtId="1" fontId="5" fillId="0" borderId="0" xfId="0" applyNumberFormat="1" applyFont="1"/>
    <xf numFmtId="0" fontId="4" fillId="2" borderId="0" xfId="0" applyFont="1" applyFill="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xf numFmtId="0" fontId="0" fillId="0" borderId="0" xfId="0" applyAlignment="1">
      <alignment horizontal="right" vertical="center"/>
    </xf>
    <xf numFmtId="9" fontId="0" fillId="8" borderId="0" xfId="0" applyNumberFormat="1" applyFill="1" applyAlignment="1">
      <alignment horizontal="right"/>
    </xf>
    <xf numFmtId="9" fontId="0" fillId="4" borderId="0" xfId="0" applyNumberFormat="1" applyFill="1"/>
    <xf numFmtId="0" fontId="5" fillId="6" borderId="1" xfId="0" applyFont="1" applyFill="1" applyBorder="1" applyAlignment="1">
      <alignment horizontal="center"/>
    </xf>
    <xf numFmtId="2" fontId="0" fillId="0" borderId="0" xfId="0" applyNumberFormat="1" applyAlignment="1">
      <alignment horizontal="center"/>
    </xf>
    <xf numFmtId="167" fontId="7" fillId="0" borderId="0" xfId="0" applyNumberFormat="1" applyFont="1" applyAlignment="1">
      <alignment horizontal="right" vertical="center"/>
    </xf>
    <xf numFmtId="167" fontId="16" fillId="0" borderId="0" xfId="0" applyNumberFormat="1" applyFont="1" applyAlignment="1">
      <alignment horizontal="right"/>
    </xf>
    <xf numFmtId="9" fontId="8" fillId="0" borderId="1" xfId="0" applyNumberFormat="1" applyFont="1" applyBorder="1" applyAlignment="1">
      <alignment horizontal="center"/>
    </xf>
    <xf numFmtId="166" fontId="0" fillId="10" borderId="0" xfId="0" applyNumberFormat="1" applyFill="1"/>
    <xf numFmtId="0" fontId="4" fillId="2" borderId="1" xfId="0" applyFont="1" applyFill="1" applyBorder="1" applyAlignment="1" applyProtection="1">
      <alignment horizontal="center"/>
      <protection locked="0"/>
    </xf>
    <xf numFmtId="0" fontId="21" fillId="8" borderId="0" xfId="0" applyFont="1" applyFill="1" applyAlignment="1">
      <alignment horizontal="left" vertical="center" readingOrder="1"/>
    </xf>
    <xf numFmtId="0" fontId="4" fillId="8" borderId="0" xfId="0" applyFont="1" applyFill="1"/>
    <xf numFmtId="0" fontId="4" fillId="4" borderId="0" xfId="0" applyFont="1" applyFill="1"/>
    <xf numFmtId="2" fontId="8" fillId="0" borderId="1" xfId="0" applyNumberFormat="1" applyFont="1" applyBorder="1" applyAlignment="1">
      <alignment horizontal="center"/>
    </xf>
    <xf numFmtId="168" fontId="8" fillId="0" borderId="1" xfId="0" applyNumberFormat="1" applyFont="1" applyBorder="1" applyAlignment="1">
      <alignment horizontal="center"/>
    </xf>
    <xf numFmtId="0" fontId="19" fillId="0" borderId="1" xfId="0" applyFont="1" applyBorder="1" applyAlignment="1">
      <alignment horizontal="center" vertical="center" wrapText="1"/>
    </xf>
    <xf numFmtId="1" fontId="19" fillId="0" borderId="1" xfId="0" applyNumberFormat="1" applyFont="1" applyBorder="1" applyAlignment="1">
      <alignment horizontal="center" vertical="center"/>
    </xf>
    <xf numFmtId="0" fontId="9" fillId="0" borderId="0" xfId="0" applyFont="1"/>
    <xf numFmtId="9" fontId="4" fillId="2" borderId="1" xfId="0" applyNumberFormat="1" applyFont="1" applyFill="1" applyBorder="1" applyAlignment="1" applyProtection="1">
      <alignment horizontal="center"/>
      <protection locked="0"/>
    </xf>
    <xf numFmtId="0" fontId="7" fillId="0" borderId="0" xfId="0" applyFont="1" applyAlignment="1">
      <alignment horizontal="center" vertical="center" wrapText="1"/>
    </xf>
    <xf numFmtId="9" fontId="7" fillId="0" borderId="0" xfId="0" applyNumberFormat="1" applyFont="1" applyAlignment="1">
      <alignment horizontal="right"/>
    </xf>
    <xf numFmtId="0" fontId="10" fillId="0" borderId="0" xfId="0" applyFont="1"/>
    <xf numFmtId="0" fontId="4" fillId="0" borderId="0" xfId="0" applyFont="1" applyAlignment="1">
      <alignment horizontal="center" vertical="center" wrapText="1"/>
    </xf>
    <xf numFmtId="0" fontId="4" fillId="11" borderId="0" xfId="0" applyFont="1" applyFill="1" applyAlignment="1">
      <alignment horizontal="center" vertical="center" wrapText="1"/>
    </xf>
    <xf numFmtId="3" fontId="4" fillId="11" borderId="0" xfId="0" applyNumberFormat="1" applyFont="1" applyFill="1"/>
    <xf numFmtId="0" fontId="9" fillId="11" borderId="0" xfId="0" applyFont="1" applyFill="1" applyAlignment="1">
      <alignment horizontal="center" vertical="center" wrapText="1"/>
    </xf>
    <xf numFmtId="1" fontId="4" fillId="11" borderId="0" xfId="0" applyNumberFormat="1" applyFont="1" applyFill="1"/>
    <xf numFmtId="0" fontId="0" fillId="10" borderId="0" xfId="0" applyFill="1" applyAlignment="1">
      <alignment horizontal="center"/>
    </xf>
    <xf numFmtId="0" fontId="0" fillId="0" borderId="10" xfId="0" applyBorder="1" applyAlignment="1">
      <alignment horizontal="center" vertical="center" wrapText="1"/>
    </xf>
    <xf numFmtId="167" fontId="16" fillId="0" borderId="11" xfId="0" applyNumberFormat="1" applyFont="1" applyBorder="1" applyAlignment="1">
      <alignment horizontal="center" vertical="center" wrapText="1"/>
    </xf>
    <xf numFmtId="0" fontId="10" fillId="0" borderId="0" xfId="0" applyFont="1" applyAlignment="1">
      <alignment horizontal="left"/>
    </xf>
    <xf numFmtId="167" fontId="11" fillId="0" borderId="0" xfId="0" applyNumberFormat="1" applyFont="1" applyAlignment="1">
      <alignment horizontal="right"/>
    </xf>
    <xf numFmtId="0" fontId="10" fillId="10" borderId="0" xfId="0" applyFont="1" applyFill="1" applyAlignment="1">
      <alignment horizontal="center" vertical="center" wrapText="1"/>
    </xf>
    <xf numFmtId="3" fontId="10" fillId="10" borderId="0" xfId="0" applyNumberFormat="1" applyFont="1" applyFill="1"/>
    <xf numFmtId="0" fontId="0" fillId="0" borderId="0" xfId="0" applyAlignment="1" applyProtection="1">
      <alignment horizontal="center"/>
      <protection locked="0"/>
    </xf>
    <xf numFmtId="0" fontId="0" fillId="0" borderId="0" xfId="0" applyProtection="1">
      <protection locked="0"/>
    </xf>
    <xf numFmtId="0" fontId="0" fillId="0" borderId="1" xfId="0"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0" fillId="2" borderId="1" xfId="0" applyFill="1" applyBorder="1" applyAlignment="1" applyProtection="1">
      <alignment horizontal="center"/>
      <protection locked="0"/>
    </xf>
    <xf numFmtId="1" fontId="0" fillId="0" borderId="1" xfId="0" applyNumberFormat="1" applyBorder="1" applyAlignment="1" applyProtection="1">
      <alignment horizontal="center" vertical="center" wrapText="1"/>
      <protection locked="0"/>
    </xf>
    <xf numFmtId="0" fontId="0" fillId="2" borderId="0" xfId="0" applyFill="1" applyAlignment="1" applyProtection="1">
      <alignment horizontal="center"/>
      <protection locked="0"/>
    </xf>
    <xf numFmtId="0" fontId="15" fillId="0" borderId="1" xfId="0" applyFont="1" applyBorder="1" applyAlignment="1">
      <alignment horizontal="center"/>
    </xf>
    <xf numFmtId="0" fontId="27" fillId="0" borderId="1" xfId="0" applyFont="1" applyBorder="1" applyAlignment="1">
      <alignment horizontal="center" vertical="center" wrapText="1"/>
    </xf>
    <xf numFmtId="0" fontId="0" fillId="0" borderId="0" xfId="0" applyAlignment="1">
      <alignment vertical="center" wrapText="1"/>
    </xf>
    <xf numFmtId="168" fontId="0" fillId="2" borderId="1" xfId="0" applyNumberFormat="1" applyFill="1" applyBorder="1" applyAlignment="1" applyProtection="1">
      <alignment horizontal="center"/>
      <protection locked="0"/>
    </xf>
    <xf numFmtId="166" fontId="8" fillId="0" borderId="0" xfId="0" applyNumberFormat="1" applyFont="1" applyAlignment="1">
      <alignment horizontal="center"/>
    </xf>
    <xf numFmtId="3" fontId="0" fillId="7" borderId="0" xfId="0" applyNumberFormat="1" applyFill="1"/>
    <xf numFmtId="0" fontId="0" fillId="12" borderId="0" xfId="0" applyFill="1"/>
    <xf numFmtId="3" fontId="0" fillId="12" borderId="0" xfId="0" applyNumberFormat="1" applyFill="1"/>
    <xf numFmtId="0" fontId="0" fillId="12" borderId="1" xfId="0" applyFill="1" applyBorder="1"/>
    <xf numFmtId="3" fontId="0" fillId="12" borderId="1" xfId="0" applyNumberFormat="1" applyFill="1" applyBorder="1"/>
    <xf numFmtId="0" fontId="0" fillId="12" borderId="0" xfId="0" applyFill="1" applyAlignment="1">
      <alignment horizontal="center" vertical="center" wrapText="1"/>
    </xf>
    <xf numFmtId="2" fontId="8" fillId="0" borderId="0" xfId="0" applyNumberFormat="1" applyFont="1" applyAlignment="1">
      <alignment horizontal="center"/>
    </xf>
    <xf numFmtId="2" fontId="4" fillId="6" borderId="1" xfId="0" applyNumberFormat="1" applyFont="1" applyFill="1" applyBorder="1" applyAlignment="1">
      <alignment horizontal="center" vertical="center"/>
    </xf>
    <xf numFmtId="1" fontId="0" fillId="6" borderId="0" xfId="0" applyNumberFormat="1" applyFill="1" applyAlignment="1">
      <alignment horizontal="center" vertical="center" wrapText="1"/>
    </xf>
    <xf numFmtId="0" fontId="0" fillId="6" borderId="0" xfId="0" applyFill="1" applyAlignment="1" applyProtection="1">
      <alignment horizontal="center"/>
      <protection locked="0"/>
    </xf>
    <xf numFmtId="9" fontId="4" fillId="2" borderId="2" xfId="0" applyNumberFormat="1" applyFont="1" applyFill="1" applyBorder="1" applyAlignment="1" applyProtection="1">
      <alignment horizontal="center"/>
      <protection locked="0"/>
    </xf>
    <xf numFmtId="0" fontId="4" fillId="0" borderId="0" xfId="0" applyFont="1" applyAlignment="1">
      <alignment horizontal="left"/>
    </xf>
    <xf numFmtId="0" fontId="0" fillId="2" borderId="1" xfId="0" applyFill="1" applyBorder="1" applyAlignment="1">
      <alignment horizontal="center"/>
    </xf>
    <xf numFmtId="0" fontId="4" fillId="2" borderId="1" xfId="0" applyFont="1" applyFill="1" applyBorder="1" applyAlignment="1">
      <alignment horizontal="center"/>
    </xf>
    <xf numFmtId="0" fontId="15" fillId="0" borderId="0" xfId="0" applyFont="1" applyAlignment="1">
      <alignment horizontal="center"/>
    </xf>
    <xf numFmtId="0" fontId="7" fillId="0" borderId="0" xfId="0" applyFont="1" applyAlignment="1">
      <alignment horizontal="left"/>
    </xf>
    <xf numFmtId="16" fontId="0" fillId="0" borderId="0" xfId="0" applyNumberFormat="1"/>
    <xf numFmtId="0" fontId="22" fillId="0" borderId="4" xfId="0" applyFont="1" applyBorder="1" applyAlignment="1">
      <alignment horizontal="center" vertical="center" wrapText="1"/>
    </xf>
    <xf numFmtId="0" fontId="17" fillId="0" borderId="1" xfId="0" applyFont="1" applyBorder="1" applyAlignment="1">
      <alignment horizontal="center" vertical="center" wrapText="1"/>
    </xf>
    <xf numFmtId="1" fontId="0" fillId="0" borderId="1" xfId="0" applyNumberFormat="1" applyBorder="1" applyAlignment="1">
      <alignment horizontal="center" vertical="center" wrapText="1"/>
    </xf>
    <xf numFmtId="1" fontId="17" fillId="0" borderId="1" xfId="0" applyNumberFormat="1" applyFont="1" applyBorder="1" applyAlignment="1">
      <alignment horizontal="center" vertical="center" wrapText="1"/>
    </xf>
    <xf numFmtId="0" fontId="12" fillId="0" borderId="0" xfId="0" applyFont="1"/>
    <xf numFmtId="1" fontId="17" fillId="0" borderId="1" xfId="0" applyNumberFormat="1" applyFont="1" applyBorder="1" applyAlignment="1">
      <alignment horizontal="center"/>
    </xf>
    <xf numFmtId="9" fontId="4" fillId="2" borderId="1" xfId="0" applyNumberFormat="1" applyFont="1" applyFill="1" applyBorder="1" applyAlignment="1">
      <alignment horizontal="center"/>
    </xf>
    <xf numFmtId="0" fontId="0" fillId="0" borderId="1" xfId="0" applyBorder="1"/>
    <xf numFmtId="1" fontId="0" fillId="0" borderId="1" xfId="0" applyNumberFormat="1" applyBorder="1" applyAlignment="1">
      <alignment horizontal="center"/>
    </xf>
    <xf numFmtId="165" fontId="0" fillId="0" borderId="0" xfId="0" applyNumberFormat="1" applyAlignment="1">
      <alignment horizontal="center"/>
    </xf>
    <xf numFmtId="0" fontId="4" fillId="0" borderId="4" xfId="0" applyFont="1" applyBorder="1" applyAlignment="1">
      <alignment horizontal="center" vertical="center" wrapText="1"/>
    </xf>
    <xf numFmtId="0" fontId="13" fillId="0" borderId="0" xfId="0" applyFont="1" applyAlignment="1">
      <alignment wrapText="1"/>
    </xf>
    <xf numFmtId="165" fontId="0" fillId="0" borderId="0" xfId="0" applyNumberFormat="1"/>
    <xf numFmtId="0" fontId="14" fillId="0" borderId="0" xfId="0" applyFont="1"/>
    <xf numFmtId="167" fontId="4" fillId="2" borderId="1" xfId="0" applyNumberFormat="1" applyFont="1" applyFill="1" applyBorder="1" applyAlignment="1">
      <alignment horizontal="center"/>
    </xf>
    <xf numFmtId="167" fontId="0" fillId="0" borderId="0" xfId="0" applyNumberFormat="1" applyAlignment="1">
      <alignment horizontal="center"/>
    </xf>
    <xf numFmtId="0" fontId="16" fillId="0" borderId="0" xfId="0" applyFont="1" applyAlignment="1">
      <alignment vertical="center" wrapText="1"/>
    </xf>
    <xf numFmtId="0" fontId="0" fillId="0" borderId="0" xfId="0" applyAlignment="1">
      <alignment horizontal="left" vertical="center"/>
    </xf>
    <xf numFmtId="166" fontId="16" fillId="0" borderId="0" xfId="0" applyNumberFormat="1" applyFont="1" applyAlignment="1">
      <alignment horizontal="right"/>
    </xf>
    <xf numFmtId="0" fontId="0" fillId="0" borderId="0" xfId="0" applyAlignment="1">
      <alignment horizontal="center" wrapText="1"/>
    </xf>
    <xf numFmtId="1" fontId="4" fillId="0" borderId="0" xfId="0" applyNumberFormat="1" applyFont="1" applyAlignment="1">
      <alignment horizontal="center"/>
    </xf>
    <xf numFmtId="1" fontId="4" fillId="0" borderId="18" xfId="0" applyNumberFormat="1" applyFont="1" applyBorder="1" applyAlignment="1">
      <alignment horizontal="center"/>
    </xf>
    <xf numFmtId="1" fontId="4" fillId="0" borderId="20" xfId="0" applyNumberFormat="1" applyFont="1" applyBorder="1" applyAlignment="1">
      <alignment horizontal="center"/>
    </xf>
    <xf numFmtId="0" fontId="0" fillId="0" borderId="19" xfId="0" applyBorder="1"/>
    <xf numFmtId="166" fontId="0" fillId="2" borderId="1" xfId="0" applyNumberFormat="1" applyFill="1" applyBorder="1" applyAlignment="1" applyProtection="1">
      <alignment horizontal="center"/>
      <protection locked="0"/>
    </xf>
    <xf numFmtId="168" fontId="0" fillId="2" borderId="1" xfId="0" applyNumberFormat="1" applyFill="1" applyBorder="1" applyProtection="1">
      <protection locked="0"/>
    </xf>
    <xf numFmtId="0" fontId="32" fillId="0" borderId="1" xfId="0" applyFont="1" applyBorder="1" applyAlignment="1">
      <alignment horizontal="center" vertical="center" wrapText="1"/>
    </xf>
    <xf numFmtId="1" fontId="30" fillId="0" borderId="1" xfId="0" applyNumberFormat="1" applyFont="1" applyBorder="1" applyAlignment="1">
      <alignment horizontal="center"/>
    </xf>
    <xf numFmtId="0" fontId="5" fillId="0" borderId="0" xfId="0" applyFont="1" applyAlignment="1">
      <alignment vertical="center"/>
    </xf>
    <xf numFmtId="1" fontId="0" fillId="9" borderId="1" xfId="0" applyNumberFormat="1" applyFill="1" applyBorder="1"/>
    <xf numFmtId="3" fontId="4" fillId="9" borderId="1" xfId="0" applyNumberFormat="1" applyFont="1" applyFill="1" applyBorder="1"/>
    <xf numFmtId="3" fontId="0" fillId="9" borderId="1" xfId="0" applyNumberFormat="1" applyFill="1" applyBorder="1"/>
    <xf numFmtId="3" fontId="0" fillId="0" borderId="1" xfId="0" applyNumberFormat="1" applyBorder="1"/>
    <xf numFmtId="0" fontId="5" fillId="0" borderId="0" xfId="0" applyFont="1"/>
    <xf numFmtId="0" fontId="23" fillId="0" borderId="0" xfId="0" applyFont="1" applyAlignment="1">
      <alignment vertical="top"/>
    </xf>
    <xf numFmtId="0" fontId="18" fillId="0" borderId="0" xfId="0" applyFont="1"/>
    <xf numFmtId="1" fontId="0" fillId="6" borderId="0" xfId="0" applyNumberFormat="1" applyFill="1"/>
    <xf numFmtId="1" fontId="4" fillId="6" borderId="0" xfId="0" applyNumberFormat="1" applyFont="1" applyFill="1"/>
    <xf numFmtId="0" fontId="4" fillId="6" borderId="0" xfId="0" applyFont="1" applyFill="1" applyAlignment="1">
      <alignment horizontal="center"/>
    </xf>
    <xf numFmtId="0" fontId="4" fillId="6" borderId="0" xfId="0" applyFont="1" applyFill="1" applyAlignment="1">
      <alignment horizontal="center" vertical="center" wrapText="1"/>
    </xf>
    <xf numFmtId="0" fontId="10" fillId="0" borderId="0" xfId="0" applyFont="1" applyAlignment="1">
      <alignment horizontal="center" vertical="center" wrapText="1"/>
    </xf>
    <xf numFmtId="9" fontId="4" fillId="6" borderId="1" xfId="0" applyNumberFormat="1" applyFont="1" applyFill="1" applyBorder="1" applyAlignment="1" applyProtection="1">
      <alignment horizontal="center" vertical="center"/>
      <protection locked="0"/>
    </xf>
    <xf numFmtId="167" fontId="4" fillId="6" borderId="1" xfId="0" applyNumberFormat="1" applyFont="1" applyFill="1" applyBorder="1" applyAlignment="1" applyProtection="1">
      <alignment horizontal="center" vertical="center"/>
      <protection locked="0"/>
    </xf>
    <xf numFmtId="168" fontId="4" fillId="6" borderId="1" xfId="0" applyNumberFormat="1" applyFont="1" applyFill="1" applyBorder="1" applyAlignment="1" applyProtection="1">
      <alignment horizontal="center"/>
      <protection locked="0"/>
    </xf>
    <xf numFmtId="0" fontId="25" fillId="0" borderId="0" xfId="0" applyFont="1" applyAlignment="1">
      <alignment vertical="top" wrapText="1"/>
    </xf>
    <xf numFmtId="0" fontId="0" fillId="0" borderId="0" xfId="0" applyAlignment="1">
      <alignment horizontal="left" vertical="center" wrapText="1"/>
    </xf>
    <xf numFmtId="0" fontId="0" fillId="13" borderId="0" xfId="0" applyFill="1" applyAlignment="1">
      <alignment horizontal="center" vertical="center" wrapText="1"/>
    </xf>
    <xf numFmtId="165" fontId="0" fillId="0" borderId="1" xfId="0" applyNumberFormat="1" applyBorder="1"/>
    <xf numFmtId="0" fontId="0" fillId="11" borderId="0" xfId="0" applyFill="1" applyAlignment="1" applyProtection="1">
      <alignment horizontal="center"/>
      <protection locked="0"/>
    </xf>
    <xf numFmtId="0" fontId="0" fillId="11" borderId="0" xfId="0" applyFill="1" applyAlignment="1">
      <alignment horizontal="center" vertical="center" wrapText="1"/>
    </xf>
    <xf numFmtId="0" fontId="0" fillId="11" borderId="0" xfId="0" applyFill="1"/>
    <xf numFmtId="1" fontId="0" fillId="11" borderId="0" xfId="0" applyNumberFormat="1" applyFill="1"/>
    <xf numFmtId="3" fontId="5" fillId="0" borderId="1" xfId="0" applyNumberFormat="1" applyFont="1" applyBorder="1"/>
    <xf numFmtId="3" fontId="0" fillId="11" borderId="0" xfId="0" applyNumberFormat="1" applyFill="1"/>
    <xf numFmtId="0" fontId="9" fillId="7" borderId="0" xfId="0" applyFont="1" applyFill="1" applyAlignment="1" applyProtection="1">
      <alignment horizontal="center"/>
      <protection locked="0"/>
    </xf>
    <xf numFmtId="0" fontId="4" fillId="7" borderId="0" xfId="0" applyFont="1" applyFill="1" applyAlignment="1" applyProtection="1">
      <alignment horizontal="center"/>
      <protection locked="0"/>
    </xf>
    <xf numFmtId="0" fontId="0" fillId="0" borderId="0" xfId="0" applyAlignment="1" applyProtection="1">
      <alignment horizontal="right"/>
      <protection locked="0"/>
    </xf>
    <xf numFmtId="0" fontId="18" fillId="0" borderId="0" xfId="0" applyFont="1" applyAlignment="1" applyProtection="1">
      <alignment horizontal="right"/>
      <protection locked="0"/>
    </xf>
    <xf numFmtId="0" fontId="5" fillId="0" borderId="0" xfId="0" applyFont="1" applyProtection="1">
      <protection locked="0"/>
    </xf>
    <xf numFmtId="0" fontId="0" fillId="2" borderId="0" xfId="0" applyFill="1" applyAlignment="1">
      <alignment horizontal="center"/>
    </xf>
    <xf numFmtId="0" fontId="0" fillId="2" borderId="0" xfId="0" applyFill="1" applyAlignment="1">
      <alignment horizontal="right"/>
    </xf>
    <xf numFmtId="0" fontId="0" fillId="13" borderId="0" xfId="0" applyFill="1"/>
    <xf numFmtId="167" fontId="0" fillId="13" borderId="0" xfId="0" applyNumberFormat="1" applyFill="1"/>
    <xf numFmtId="2" fontId="0" fillId="13" borderId="0" xfId="0" applyNumberFormat="1" applyFill="1" applyAlignment="1">
      <alignment horizontal="right"/>
    </xf>
    <xf numFmtId="2" fontId="0" fillId="4" borderId="0" xfId="0" applyNumberFormat="1" applyFill="1" applyAlignment="1">
      <alignment horizontal="right"/>
    </xf>
    <xf numFmtId="169" fontId="0" fillId="14" borderId="0" xfId="0" applyNumberFormat="1" applyFill="1" applyAlignment="1">
      <alignment horizontal="right"/>
    </xf>
    <xf numFmtId="170" fontId="0" fillId="0" borderId="0" xfId="0" applyNumberFormat="1"/>
    <xf numFmtId="0" fontId="4" fillId="10" borderId="0" xfId="0" applyFont="1" applyFill="1"/>
    <xf numFmtId="0" fontId="4" fillId="10" borderId="0" xfId="0" applyFont="1" applyFill="1" applyAlignment="1">
      <alignment horizontal="left" vertical="top" wrapText="1"/>
    </xf>
    <xf numFmtId="0" fontId="4" fillId="10" borderId="0" xfId="0" applyFont="1" applyFill="1" applyAlignment="1">
      <alignment horizontal="right"/>
    </xf>
    <xf numFmtId="166" fontId="4" fillId="10" borderId="0" xfId="0" applyNumberFormat="1" applyFont="1" applyFill="1"/>
    <xf numFmtId="166" fontId="4" fillId="10" borderId="0" xfId="0" applyNumberFormat="1" applyFont="1" applyFill="1" applyAlignment="1">
      <alignment wrapText="1"/>
    </xf>
    <xf numFmtId="166" fontId="4" fillId="10" borderId="0" xfId="0" applyNumberFormat="1" applyFont="1" applyFill="1" applyAlignment="1">
      <alignment horizontal="right"/>
    </xf>
    <xf numFmtId="0" fontId="40" fillId="0" borderId="0" xfId="0" applyFont="1" applyAlignment="1">
      <alignment vertical="center" textRotation="90" readingOrder="1"/>
    </xf>
    <xf numFmtId="0" fontId="22" fillId="0" borderId="4" xfId="0" applyFont="1" applyBorder="1" applyAlignment="1">
      <alignment horizontal="left" vertical="center" wrapText="1"/>
    </xf>
    <xf numFmtId="0" fontId="10" fillId="0" borderId="0" xfId="0" applyFont="1" applyAlignment="1">
      <alignment horizontal="center"/>
    </xf>
    <xf numFmtId="166" fontId="0" fillId="0" borderId="1" xfId="0" applyNumberFormat="1" applyBorder="1" applyAlignment="1">
      <alignment horizontal="center"/>
    </xf>
    <xf numFmtId="0" fontId="9" fillId="0" borderId="0" xfId="0" applyFont="1" applyAlignment="1">
      <alignment horizontal="left"/>
    </xf>
    <xf numFmtId="0" fontId="5" fillId="0" borderId="0" xfId="0" applyFont="1" applyAlignment="1">
      <alignment vertical="top"/>
    </xf>
    <xf numFmtId="165" fontId="0" fillId="0" borderId="4" xfId="0" applyNumberFormat="1" applyBorder="1" applyAlignment="1">
      <alignment horizontal="center"/>
    </xf>
    <xf numFmtId="0" fontId="4" fillId="2" borderId="4" xfId="0" applyFont="1" applyFill="1" applyBorder="1" applyAlignment="1" applyProtection="1">
      <alignment horizontal="center"/>
      <protection locked="0"/>
    </xf>
    <xf numFmtId="1" fontId="0" fillId="0" borderId="4" xfId="0" applyNumberFormat="1" applyBorder="1" applyAlignment="1">
      <alignment horizontal="center"/>
    </xf>
    <xf numFmtId="1" fontId="17" fillId="0" borderId="4" xfId="0" applyNumberFormat="1" applyFont="1" applyBorder="1" applyAlignment="1">
      <alignment horizontal="center"/>
    </xf>
    <xf numFmtId="0" fontId="0" fillId="0" borderId="4" xfId="0" applyBorder="1" applyAlignment="1">
      <alignment horizontal="center"/>
    </xf>
    <xf numFmtId="0" fontId="0" fillId="0" borderId="4" xfId="0" applyBorder="1"/>
    <xf numFmtId="16" fontId="0" fillId="0" borderId="1" xfId="0" applyNumberFormat="1" applyBorder="1" applyAlignment="1">
      <alignment horizontal="center"/>
    </xf>
    <xf numFmtId="0" fontId="0" fillId="0" borderId="1" xfId="0" applyBorder="1" applyAlignment="1" applyProtection="1">
      <alignment horizontal="right"/>
      <protection locked="0"/>
    </xf>
    <xf numFmtId="1" fontId="30" fillId="0" borderId="1" xfId="0" applyNumberFormat="1" applyFont="1" applyBorder="1" applyAlignment="1">
      <alignment horizontal="center" vertical="center"/>
    </xf>
    <xf numFmtId="0" fontId="7" fillId="0" borderId="0" xfId="0" applyFont="1" applyAlignment="1">
      <alignment horizontal="right" vertical="center" wrapText="1"/>
    </xf>
    <xf numFmtId="0" fontId="30" fillId="0" borderId="12" xfId="0" applyFont="1" applyBorder="1" applyAlignment="1">
      <alignment horizontal="right" vertical="center"/>
    </xf>
    <xf numFmtId="3" fontId="5" fillId="0" borderId="1" xfId="0" applyNumberFormat="1" applyFont="1" applyBorder="1" applyAlignment="1">
      <alignment horizontal="center" vertical="top"/>
    </xf>
    <xf numFmtId="2" fontId="4" fillId="6" borderId="1" xfId="0" applyNumberFormat="1" applyFont="1" applyFill="1" applyBorder="1" applyAlignment="1" applyProtection="1">
      <alignment horizontal="center" vertical="center"/>
      <protection locked="0"/>
    </xf>
    <xf numFmtId="167" fontId="4" fillId="6" borderId="1" xfId="0" applyNumberFormat="1" applyFont="1" applyFill="1" applyBorder="1" applyAlignment="1" applyProtection="1">
      <alignment horizontal="center"/>
      <protection locked="0"/>
    </xf>
    <xf numFmtId="2" fontId="8" fillId="0" borderId="0" xfId="0" applyNumberFormat="1" applyFont="1" applyAlignment="1">
      <alignment horizontal="center" vertical="center"/>
    </xf>
    <xf numFmtId="9" fontId="8" fillId="0" borderId="0" xfId="0" applyNumberFormat="1" applyFont="1" applyAlignment="1">
      <alignment horizontal="center"/>
    </xf>
    <xf numFmtId="168" fontId="0" fillId="0" borderId="0" xfId="0" applyNumberFormat="1"/>
    <xf numFmtId="168" fontId="15" fillId="0" borderId="1" xfId="0" applyNumberFormat="1" applyFont="1" applyBorder="1" applyAlignment="1">
      <alignment horizontal="center"/>
    </xf>
    <xf numFmtId="168" fontId="15" fillId="0" borderId="0" xfId="0" applyNumberFormat="1" applyFont="1" applyAlignment="1">
      <alignment horizontal="center"/>
    </xf>
    <xf numFmtId="168" fontId="0" fillId="0" borderId="1" xfId="0" applyNumberFormat="1" applyBorder="1" applyAlignment="1">
      <alignment horizontal="center" vertical="center" wrapText="1"/>
    </xf>
    <xf numFmtId="168" fontId="4" fillId="2" borderId="1" xfId="0" applyNumberFormat="1" applyFont="1" applyFill="1" applyBorder="1" applyAlignment="1" applyProtection="1">
      <alignment horizontal="center"/>
      <protection locked="0"/>
    </xf>
    <xf numFmtId="168" fontId="4" fillId="2" borderId="4" xfId="0" applyNumberFormat="1" applyFont="1" applyFill="1" applyBorder="1" applyAlignment="1" applyProtection="1">
      <alignment horizontal="center"/>
      <protection locked="0"/>
    </xf>
    <xf numFmtId="168" fontId="0" fillId="0" borderId="1" xfId="0" applyNumberFormat="1" applyBorder="1" applyAlignment="1" applyProtection="1">
      <alignment horizontal="center"/>
      <protection locked="0"/>
    </xf>
    <xf numFmtId="168" fontId="0" fillId="0" borderId="0" xfId="0" applyNumberFormat="1" applyProtection="1">
      <protection locked="0"/>
    </xf>
    <xf numFmtId="168" fontId="0" fillId="0" borderId="1" xfId="0" applyNumberFormat="1" applyBorder="1" applyAlignment="1" applyProtection="1">
      <alignment horizontal="center" vertical="center" wrapText="1"/>
      <protection locked="0"/>
    </xf>
    <xf numFmtId="168" fontId="4" fillId="2" borderId="1" xfId="0" applyNumberFormat="1" applyFont="1" applyFill="1" applyBorder="1" applyAlignment="1">
      <alignment horizontal="center"/>
    </xf>
    <xf numFmtId="0" fontId="0" fillId="0" borderId="16" xfId="0" applyBorder="1"/>
    <xf numFmtId="0" fontId="0" fillId="0" borderId="16" xfId="0" applyBorder="1" applyAlignment="1">
      <alignment horizontal="center"/>
    </xf>
    <xf numFmtId="0" fontId="0" fillId="0" borderId="16" xfId="0" applyBorder="1" applyAlignment="1">
      <alignment horizontal="center" vertical="center" wrapText="1"/>
    </xf>
    <xf numFmtId="9" fontId="4" fillId="6" borderId="1" xfId="0" applyNumberFormat="1" applyFont="1" applyFill="1" applyBorder="1" applyAlignment="1" applyProtection="1">
      <alignment horizontal="center"/>
      <protection locked="0"/>
    </xf>
    <xf numFmtId="0" fontId="0" fillId="0" borderId="1" xfId="0" applyBorder="1" applyAlignment="1">
      <alignment horizontal="right"/>
    </xf>
    <xf numFmtId="1" fontId="0" fillId="0" borderId="1" xfId="0" applyNumberFormat="1" applyBorder="1"/>
    <xf numFmtId="1" fontId="4" fillId="2" borderId="1" xfId="0" applyNumberFormat="1" applyFont="1" applyFill="1" applyBorder="1" applyProtection="1">
      <protection locked="0"/>
    </xf>
    <xf numFmtId="15" fontId="0" fillId="0" borderId="0" xfId="0" applyNumberFormat="1"/>
    <xf numFmtId="171" fontId="0" fillId="0" borderId="0" xfId="0" applyNumberFormat="1" applyAlignment="1">
      <alignment wrapText="1"/>
    </xf>
    <xf numFmtId="1" fontId="0" fillId="0" borderId="0" xfId="0" applyNumberFormat="1" applyAlignment="1">
      <alignment vertical="center" wrapText="1"/>
    </xf>
    <xf numFmtId="3" fontId="0" fillId="3" borderId="0" xfId="0" applyNumberFormat="1" applyFill="1"/>
    <xf numFmtId="9" fontId="0" fillId="3" borderId="0" xfId="0" applyNumberFormat="1" applyFill="1"/>
    <xf numFmtId="9" fontId="0" fillId="10" borderId="0" xfId="0" applyNumberFormat="1" applyFill="1"/>
    <xf numFmtId="2" fontId="0" fillId="16" borderId="0" xfId="0" applyNumberFormat="1" applyFill="1"/>
    <xf numFmtId="167" fontId="0" fillId="16" borderId="0" xfId="0" applyNumberFormat="1" applyFill="1"/>
    <xf numFmtId="9" fontId="0" fillId="8" borderId="0" xfId="0" applyNumberFormat="1" applyFill="1"/>
    <xf numFmtId="167" fontId="0" fillId="16" borderId="0" xfId="0" applyNumberFormat="1" applyFill="1" applyAlignment="1">
      <alignment horizontal="right"/>
    </xf>
    <xf numFmtId="0" fontId="45" fillId="0" borderId="0" xfId="0" applyFont="1"/>
    <xf numFmtId="166" fontId="8" fillId="0" borderId="0" xfId="0" applyNumberFormat="1" applyFont="1" applyAlignment="1">
      <alignment horizontal="center" vertical="center"/>
    </xf>
    <xf numFmtId="1" fontId="5" fillId="0" borderId="1" xfId="0" applyNumberFormat="1" applyFont="1" applyBorder="1" applyAlignment="1">
      <alignment horizontal="center"/>
    </xf>
    <xf numFmtId="1" fontId="5" fillId="6" borderId="1" xfId="0" applyNumberFormat="1" applyFont="1" applyFill="1" applyBorder="1" applyAlignment="1">
      <alignment horizontal="center"/>
    </xf>
    <xf numFmtId="9" fontId="5" fillId="6" borderId="1" xfId="0" applyNumberFormat="1" applyFont="1" applyFill="1" applyBorder="1" applyAlignment="1">
      <alignment horizontal="right"/>
    </xf>
    <xf numFmtId="0" fontId="4" fillId="7" borderId="1" xfId="0" applyFont="1" applyFill="1" applyBorder="1" applyAlignment="1">
      <alignment horizontal="center"/>
    </xf>
    <xf numFmtId="0" fontId="31" fillId="0" borderId="0" xfId="0" applyFont="1" applyAlignment="1">
      <alignment vertical="center" textRotation="90"/>
    </xf>
    <xf numFmtId="0" fontId="16" fillId="0" borderId="0" xfId="0" applyFont="1" applyAlignment="1">
      <alignment horizontal="center"/>
    </xf>
    <xf numFmtId="1" fontId="5" fillId="0" borderId="0" xfId="0" applyNumberFormat="1" applyFont="1" applyAlignment="1">
      <alignment horizontal="center"/>
    </xf>
    <xf numFmtId="3" fontId="0" fillId="0" borderId="0" xfId="0" applyNumberFormat="1" applyAlignment="1">
      <alignment horizontal="center"/>
    </xf>
    <xf numFmtId="9" fontId="9" fillId="2" borderId="0" xfId="0" applyNumberFormat="1" applyFont="1" applyFill="1" applyAlignment="1">
      <alignment horizontal="center"/>
    </xf>
    <xf numFmtId="0" fontId="4" fillId="0" borderId="0" xfId="0" applyFont="1" applyAlignment="1">
      <alignment vertical="center"/>
    </xf>
    <xf numFmtId="0" fontId="7" fillId="0" borderId="1" xfId="0" applyFont="1" applyBorder="1"/>
    <xf numFmtId="0" fontId="31" fillId="0" borderId="0" xfId="0" applyFont="1" applyAlignment="1">
      <alignment horizontal="center" vertical="center" textRotation="90" wrapText="1"/>
    </xf>
    <xf numFmtId="0" fontId="31" fillId="0" borderId="0" xfId="0" applyFont="1" applyAlignment="1">
      <alignment horizontal="center" vertical="center" textRotation="90"/>
    </xf>
    <xf numFmtId="0" fontId="0" fillId="0" borderId="0" xfId="0" applyAlignment="1">
      <alignment horizontal="left" vertical="top"/>
    </xf>
    <xf numFmtId="0" fontId="0" fillId="0" borderId="0" xfId="0" applyAlignment="1">
      <alignment vertical="center" textRotation="90"/>
    </xf>
    <xf numFmtId="0" fontId="5" fillId="6" borderId="1" xfId="0" applyFont="1" applyFill="1" applyBorder="1" applyAlignment="1" applyProtection="1">
      <alignment horizontal="center"/>
      <protection locked="0"/>
    </xf>
    <xf numFmtId="0" fontId="4" fillId="0" borderId="2" xfId="0" applyFont="1" applyBorder="1" applyAlignment="1">
      <alignment vertical="center"/>
    </xf>
    <xf numFmtId="0" fontId="0" fillId="2" borderId="9" xfId="0" applyFill="1" applyBorder="1"/>
    <xf numFmtId="172" fontId="0" fillId="0" borderId="1" xfId="0" applyNumberFormat="1" applyBorder="1" applyAlignment="1">
      <alignment horizontal="center"/>
    </xf>
    <xf numFmtId="0" fontId="47" fillId="0" borderId="0" xfId="0" applyFont="1" applyAlignment="1">
      <alignment vertical="top" wrapText="1"/>
    </xf>
    <xf numFmtId="0" fontId="4" fillId="6" borderId="22" xfId="0" applyFont="1" applyFill="1" applyBorder="1" applyAlignment="1" applyProtection="1">
      <alignment horizontal="center" vertical="center"/>
      <protection locked="0"/>
    </xf>
    <xf numFmtId="0" fontId="16" fillId="0" borderId="1" xfId="0" applyFont="1" applyBorder="1"/>
    <xf numFmtId="0" fontId="8" fillId="6" borderId="1" xfId="0" applyFont="1" applyFill="1" applyBorder="1" applyAlignment="1" applyProtection="1">
      <alignment horizontal="center"/>
      <protection locked="0"/>
    </xf>
    <xf numFmtId="1" fontId="16" fillId="0" borderId="1" xfId="0" applyNumberFormat="1" applyFont="1" applyBorder="1" applyAlignment="1">
      <alignment horizontal="center"/>
    </xf>
    <xf numFmtId="0" fontId="8" fillId="0" borderId="6" xfId="0" applyFont="1" applyBorder="1" applyAlignment="1">
      <alignment horizontal="center"/>
    </xf>
    <xf numFmtId="3" fontId="48" fillId="0" borderId="1" xfId="0" applyNumberFormat="1" applyFont="1" applyBorder="1" applyAlignment="1">
      <alignment horizontal="center" shrinkToFit="1"/>
    </xf>
    <xf numFmtId="3" fontId="48" fillId="0" borderId="2" xfId="0" applyNumberFormat="1" applyFont="1" applyBorder="1" applyAlignment="1">
      <alignment horizontal="center" shrinkToFit="1"/>
    </xf>
    <xf numFmtId="9" fontId="46" fillId="0" borderId="1" xfId="0" applyNumberFormat="1" applyFont="1" applyBorder="1" applyAlignment="1">
      <alignment horizontal="center" shrinkToFit="1"/>
    </xf>
    <xf numFmtId="9" fontId="46" fillId="0" borderId="2" xfId="0" applyNumberFormat="1" applyFont="1" applyBorder="1" applyAlignment="1">
      <alignment horizontal="center" shrinkToFit="1"/>
    </xf>
    <xf numFmtId="0" fontId="41" fillId="0" borderId="0" xfId="0" applyFont="1" applyAlignment="1">
      <alignment horizontal="center" vertical="center" textRotation="90" readingOrder="1"/>
    </xf>
    <xf numFmtId="0" fontId="31" fillId="0" borderId="0" xfId="0" applyFont="1" applyAlignment="1">
      <alignment vertical="center" textRotation="90" wrapText="1"/>
    </xf>
    <xf numFmtId="0" fontId="4" fillId="0" borderId="3" xfId="0" applyFont="1" applyBorder="1" applyAlignment="1" applyProtection="1">
      <alignment horizontal="center" vertical="center"/>
      <protection locked="0"/>
    </xf>
    <xf numFmtId="0" fontId="4" fillId="0" borderId="8" xfId="0" applyFont="1" applyBorder="1"/>
    <xf numFmtId="0" fontId="4" fillId="0" borderId="3" xfId="0" applyFont="1" applyBorder="1" applyAlignment="1">
      <alignment horizontal="center"/>
    </xf>
    <xf numFmtId="1" fontId="8" fillId="0" borderId="2" xfId="0" applyNumberFormat="1" applyFont="1" applyBorder="1" applyAlignment="1">
      <alignment horizontal="right"/>
    </xf>
    <xf numFmtId="1" fontId="8" fillId="0" borderId="26" xfId="0" applyNumberFormat="1" applyFont="1" applyBorder="1" applyAlignment="1">
      <alignment horizontal="left"/>
    </xf>
    <xf numFmtId="1" fontId="4" fillId="2" borderId="1" xfId="0" applyNumberFormat="1" applyFont="1" applyFill="1" applyBorder="1" applyAlignment="1" applyProtection="1">
      <alignment horizontal="center"/>
      <protection locked="0"/>
    </xf>
    <xf numFmtId="0" fontId="4" fillId="2" borderId="6" xfId="0" applyFont="1" applyFill="1" applyBorder="1" applyAlignment="1" applyProtection="1">
      <alignment horizontal="center"/>
      <protection locked="0"/>
    </xf>
    <xf numFmtId="0" fontId="4" fillId="2" borderId="4" xfId="0" applyFont="1" applyFill="1" applyBorder="1" applyAlignment="1">
      <alignment horizontal="center"/>
    </xf>
    <xf numFmtId="0" fontId="25" fillId="0" borderId="1" xfId="0" applyFont="1" applyBorder="1" applyAlignment="1">
      <alignment horizontal="center" vertical="center" wrapText="1"/>
    </xf>
    <xf numFmtId="0" fontId="25" fillId="0" borderId="1" xfId="0" applyFont="1" applyBorder="1" applyAlignment="1">
      <alignment horizontal="center"/>
    </xf>
    <xf numFmtId="165" fontId="0" fillId="0" borderId="3" xfId="0" applyNumberFormat="1" applyBorder="1" applyAlignment="1">
      <alignment horizontal="center"/>
    </xf>
    <xf numFmtId="165" fontId="0" fillId="0" borderId="15" xfId="0" applyNumberFormat="1" applyBorder="1" applyAlignment="1">
      <alignment horizontal="center"/>
    </xf>
    <xf numFmtId="165" fontId="0" fillId="0" borderId="2" xfId="0" applyNumberFormat="1" applyBorder="1" applyAlignment="1">
      <alignment horizontal="center"/>
    </xf>
    <xf numFmtId="0" fontId="0" fillId="0" borderId="3" xfId="0" applyBorder="1" applyAlignment="1">
      <alignment horizontal="center"/>
    </xf>
    <xf numFmtId="3" fontId="10" fillId="10" borderId="0" xfId="0" applyNumberFormat="1" applyFont="1" applyFill="1" applyAlignment="1" applyProtection="1">
      <alignment horizontal="center"/>
      <protection locked="0"/>
    </xf>
    <xf numFmtId="0" fontId="50" fillId="0" borderId="0" xfId="0" applyFont="1" applyAlignment="1">
      <alignment horizontal="center"/>
    </xf>
    <xf numFmtId="0" fontId="51" fillId="0" borderId="0" xfId="0" applyFont="1" applyAlignment="1" applyProtection="1">
      <alignment horizontal="center"/>
      <protection locked="0"/>
    </xf>
    <xf numFmtId="0" fontId="50" fillId="0" borderId="0" xfId="0" applyFont="1" applyAlignment="1">
      <alignment horizontal="center" vertical="center" wrapText="1"/>
    </xf>
    <xf numFmtId="166" fontId="50" fillId="0" borderId="0" xfId="0" applyNumberFormat="1" applyFont="1" applyAlignment="1">
      <alignment horizontal="center" vertical="center"/>
    </xf>
    <xf numFmtId="0" fontId="50" fillId="0" borderId="0" xfId="0" applyFont="1" applyAlignment="1">
      <alignment horizontal="center" vertical="center"/>
    </xf>
    <xf numFmtId="0" fontId="50" fillId="10" borderId="0" xfId="0" applyFont="1" applyFill="1" applyAlignment="1">
      <alignment horizontal="center"/>
    </xf>
    <xf numFmtId="0" fontId="25" fillId="6" borderId="1" xfId="0" applyFont="1" applyFill="1" applyBorder="1" applyAlignment="1">
      <alignment horizontal="center" wrapText="1"/>
    </xf>
    <xf numFmtId="0" fontId="25" fillId="6" borderId="1" xfId="0" applyFont="1" applyFill="1" applyBorder="1" applyAlignment="1" applyProtection="1">
      <alignment horizontal="center" vertical="center"/>
      <protection locked="0"/>
    </xf>
    <xf numFmtId="166" fontId="25" fillId="6" borderId="1" xfId="0" applyNumberFormat="1" applyFont="1" applyFill="1" applyBorder="1" applyAlignment="1" applyProtection="1">
      <alignment horizontal="center" vertical="center"/>
      <protection locked="0"/>
    </xf>
    <xf numFmtId="0" fontId="49" fillId="6" borderId="1" xfId="0" applyFont="1" applyFill="1" applyBorder="1" applyAlignment="1" applyProtection="1">
      <alignment horizontal="center" vertical="center"/>
      <protection locked="0"/>
    </xf>
    <xf numFmtId="0" fontId="25" fillId="6" borderId="1" xfId="0" applyFont="1" applyFill="1" applyBorder="1" applyAlignment="1" applyProtection="1">
      <alignment horizontal="center" vertical="center" wrapText="1"/>
      <protection locked="0"/>
    </xf>
    <xf numFmtId="172" fontId="0" fillId="0" borderId="1" xfId="0" applyNumberFormat="1" applyBorder="1" applyAlignment="1">
      <alignment horizontal="center" wrapText="1"/>
    </xf>
    <xf numFmtId="0" fontId="0" fillId="0" borderId="23" xfId="0" applyBorder="1" applyAlignment="1">
      <alignment vertical="top"/>
    </xf>
    <xf numFmtId="0" fontId="0" fillId="0" borderId="24" xfId="0" applyBorder="1" applyAlignment="1">
      <alignment vertical="top"/>
    </xf>
    <xf numFmtId="0" fontId="0" fillId="0" borderId="25" xfId="0" applyBorder="1" applyAlignment="1">
      <alignment vertical="top"/>
    </xf>
    <xf numFmtId="9" fontId="4" fillId="7" borderId="1" xfId="0" applyNumberFormat="1" applyFont="1" applyFill="1" applyBorder="1" applyAlignment="1">
      <alignment horizontal="center"/>
    </xf>
    <xf numFmtId="1" fontId="4" fillId="7" borderId="1" xfId="0" applyNumberFormat="1" applyFont="1" applyFill="1" applyBorder="1" applyAlignment="1">
      <alignment horizontal="center"/>
    </xf>
    <xf numFmtId="9" fontId="4" fillId="2" borderId="6" xfId="0" applyNumberFormat="1" applyFont="1" applyFill="1" applyBorder="1" applyAlignment="1" applyProtection="1">
      <alignment horizontal="center"/>
      <protection locked="0"/>
    </xf>
    <xf numFmtId="9" fontId="4" fillId="2" borderId="15" xfId="0" applyNumberFormat="1" applyFont="1" applyFill="1" applyBorder="1" applyAlignment="1" applyProtection="1">
      <alignment horizontal="center"/>
      <protection locked="0"/>
    </xf>
    <xf numFmtId="0" fontId="0" fillId="2" borderId="28" xfId="0" applyFill="1" applyBorder="1"/>
    <xf numFmtId="0" fontId="0" fillId="18" borderId="0" xfId="0" applyFill="1"/>
    <xf numFmtId="2" fontId="4" fillId="6" borderId="0" xfId="0" applyNumberFormat="1" applyFont="1" applyFill="1" applyAlignment="1">
      <alignment horizontal="center" vertical="center"/>
    </xf>
    <xf numFmtId="0" fontId="4" fillId="6" borderId="0" xfId="0" applyFont="1" applyFill="1" applyAlignment="1">
      <alignment horizontal="center" vertical="center"/>
    </xf>
    <xf numFmtId="2" fontId="4" fillId="6" borderId="2" xfId="0" applyNumberFormat="1" applyFont="1" applyFill="1" applyBorder="1" applyAlignment="1">
      <alignment horizontal="center" vertical="center"/>
    </xf>
    <xf numFmtId="0" fontId="4" fillId="6" borderId="2" xfId="0" applyFont="1" applyFill="1" applyBorder="1" applyAlignment="1">
      <alignment horizontal="center" vertical="center"/>
    </xf>
    <xf numFmtId="1" fontId="10" fillId="2" borderId="1" xfId="0" applyNumberFormat="1" applyFont="1" applyFill="1" applyBorder="1" applyAlignment="1">
      <alignment horizontal="center" vertical="center" wrapText="1"/>
    </xf>
    <xf numFmtId="169" fontId="0" fillId="0" borderId="0" xfId="0" applyNumberFormat="1" applyAlignment="1">
      <alignment horizontal="center"/>
    </xf>
    <xf numFmtId="2" fontId="7" fillId="0" borderId="0" xfId="0" applyNumberFormat="1" applyFont="1" applyAlignment="1">
      <alignment horizontal="right"/>
    </xf>
    <xf numFmtId="0" fontId="7" fillId="9" borderId="0" xfId="0" applyFont="1" applyFill="1" applyAlignment="1">
      <alignment horizontal="center" vertical="center" wrapText="1"/>
    </xf>
    <xf numFmtId="9" fontId="7" fillId="9" borderId="0" xfId="0" applyNumberFormat="1" applyFont="1" applyFill="1" applyAlignment="1">
      <alignment horizontal="right"/>
    </xf>
    <xf numFmtId="0" fontId="0" fillId="2" borderId="1" xfId="0" applyFill="1" applyBorder="1"/>
    <xf numFmtId="0" fontId="0" fillId="0" borderId="2" xfId="0" applyBorder="1" applyAlignment="1">
      <alignment horizontal="center"/>
    </xf>
    <xf numFmtId="0" fontId="7" fillId="0" borderId="1" xfId="0" applyFont="1" applyBorder="1" applyAlignment="1">
      <alignment horizontal="center"/>
    </xf>
    <xf numFmtId="0" fontId="0" fillId="7" borderId="0" xfId="0" applyFill="1" applyAlignment="1">
      <alignment horizontal="center" vertical="center" wrapText="1"/>
    </xf>
    <xf numFmtId="0" fontId="0" fillId="0" borderId="9" xfId="0" applyBorder="1" applyAlignment="1">
      <alignment horizontal="left" vertical="top"/>
    </xf>
    <xf numFmtId="0" fontId="8" fillId="0" borderId="1" xfId="0" applyFont="1" applyBorder="1" applyAlignment="1">
      <alignment horizontal="center"/>
    </xf>
    <xf numFmtId="0" fontId="0" fillId="0" borderId="0" xfId="0" applyAlignment="1">
      <alignment horizontal="left"/>
    </xf>
    <xf numFmtId="166" fontId="4" fillId="10" borderId="1" xfId="0" applyNumberFormat="1" applyFont="1" applyFill="1" applyBorder="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4" borderId="0" xfId="0" applyFill="1" applyAlignment="1">
      <alignment horizontal="center" vertical="center" wrapText="1"/>
    </xf>
    <xf numFmtId="0" fontId="0" fillId="10" borderId="0" xfId="0" applyFill="1" applyAlignment="1">
      <alignment horizontal="center" vertical="center" wrapText="1"/>
    </xf>
    <xf numFmtId="0" fontId="0" fillId="0" borderId="0" xfId="0" applyAlignment="1">
      <alignment horizontal="left" vertical="top" wrapText="1"/>
    </xf>
    <xf numFmtId="0" fontId="5" fillId="0" borderId="3" xfId="0" applyFont="1" applyBorder="1" applyAlignment="1">
      <alignment horizontal="center"/>
    </xf>
    <xf numFmtId="0" fontId="5" fillId="0" borderId="0" xfId="0" applyFont="1" applyAlignment="1">
      <alignment horizontal="center"/>
    </xf>
    <xf numFmtId="0" fontId="4" fillId="10" borderId="0" xfId="0" applyFont="1" applyFill="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5" fillId="0" borderId="1" xfId="0" applyFont="1" applyBorder="1"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11" borderId="0" xfId="0" applyFill="1" applyAlignment="1">
      <alignment horizontal="center"/>
    </xf>
    <xf numFmtId="0" fontId="0" fillId="0" borderId="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0" xfId="0" applyAlignment="1" applyProtection="1">
      <alignment horizontal="center"/>
      <protection locked="0"/>
    </xf>
    <xf numFmtId="0" fontId="0" fillId="6" borderId="0" xfId="0" applyFill="1" applyAlignment="1">
      <alignment horizontal="center"/>
    </xf>
    <xf numFmtId="0" fontId="0" fillId="0" borderId="0" xfId="0" applyAlignment="1">
      <alignment horizontal="center"/>
    </xf>
    <xf numFmtId="0" fontId="0" fillId="6" borderId="0" xfId="0" applyFill="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9" fontId="4" fillId="0" borderId="4" xfId="0" applyNumberFormat="1"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0" fillId="6" borderId="0" xfId="0" applyFill="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1" xfId="0" applyBorder="1" applyAlignment="1">
      <alignment horizontal="center" vertical="center" wrapText="1"/>
    </xf>
    <xf numFmtId="0" fontId="0" fillId="6" borderId="0" xfId="0" applyFill="1" applyAlignment="1">
      <alignment horizontal="center" vertical="center" wrapText="1"/>
    </xf>
    <xf numFmtId="0" fontId="0" fillId="11" borderId="0" xfId="0" applyFill="1" applyAlignment="1">
      <alignment horizontal="center"/>
    </xf>
    <xf numFmtId="0" fontId="0" fillId="12" borderId="0" xfId="0" applyFill="1" applyAlignment="1">
      <alignment horizontal="center"/>
    </xf>
    <xf numFmtId="0" fontId="0" fillId="0" borderId="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vertical="center" wrapText="1"/>
    </xf>
    <xf numFmtId="0" fontId="0" fillId="0" borderId="0" xfId="0" applyAlignment="1">
      <alignment horizontal="left"/>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10" borderId="0" xfId="0" applyFont="1" applyFill="1" applyAlignment="1">
      <alignment horizontal="center" vertical="center" wrapText="1"/>
    </xf>
    <xf numFmtId="0" fontId="4" fillId="10" borderId="9" xfId="0" applyFont="1" applyFill="1" applyBorder="1" applyAlignment="1">
      <alignment horizontal="center"/>
    </xf>
    <xf numFmtId="0" fontId="4" fillId="0" borderId="0" xfId="0" applyFont="1" applyAlignment="1">
      <alignment horizontal="left" vertical="center" wrapText="1"/>
    </xf>
    <xf numFmtId="0" fontId="4" fillId="0" borderId="0" xfId="0" applyFont="1" applyAlignment="1">
      <alignment horizontal="left" vertical="center"/>
    </xf>
    <xf numFmtId="0" fontId="4" fillId="6" borderId="2" xfId="0" applyFont="1" applyFill="1" applyBorder="1" applyAlignment="1" applyProtection="1">
      <alignment horizontal="center"/>
      <protection locked="0"/>
    </xf>
    <xf numFmtId="0" fontId="4" fillId="6" borderId="3" xfId="0" applyFont="1" applyFill="1" applyBorder="1" applyAlignment="1" applyProtection="1">
      <alignment horizontal="center"/>
      <protection locked="0"/>
    </xf>
    <xf numFmtId="0" fontId="4" fillId="10" borderId="2" xfId="0" applyFont="1" applyFill="1" applyBorder="1" applyAlignment="1">
      <alignment horizontal="center" vertical="center"/>
    </xf>
    <xf numFmtId="0" fontId="5" fillId="0" borderId="4" xfId="0" applyFont="1" applyBorder="1" applyAlignment="1">
      <alignment horizontal="center"/>
    </xf>
    <xf numFmtId="0" fontId="24" fillId="0" borderId="12" xfId="0" applyFont="1" applyBorder="1" applyAlignment="1">
      <alignment horizontal="left" vertical="center"/>
    </xf>
    <xf numFmtId="0" fontId="24" fillId="0" borderId="15" xfId="0" applyFont="1" applyBorder="1" applyAlignment="1">
      <alignment horizontal="left" vertical="center"/>
    </xf>
    <xf numFmtId="0" fontId="5" fillId="0" borderId="1" xfId="0" applyFont="1" applyBorder="1" applyAlignment="1">
      <alignment horizontal="center"/>
    </xf>
    <xf numFmtId="0" fontId="0" fillId="4" borderId="0" xfId="0" applyFill="1" applyAlignment="1">
      <alignment horizontal="center" vertical="center" wrapText="1"/>
    </xf>
    <xf numFmtId="0" fontId="0" fillId="5" borderId="0" xfId="0" applyFill="1" applyAlignment="1">
      <alignment horizontal="center" vertical="center"/>
    </xf>
    <xf numFmtId="0" fontId="0" fillId="10" borderId="0" xfId="0" applyFill="1" applyAlignment="1">
      <alignment horizontal="center" vertical="center" wrapText="1"/>
    </xf>
    <xf numFmtId="0" fontId="0" fillId="0" borderId="0" xfId="0" applyAlignment="1">
      <alignment horizontal="left"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2" xfId="0" applyBorder="1" applyAlignment="1">
      <alignment horizontal="center" wrapText="1"/>
    </xf>
    <xf numFmtId="0" fontId="0" fillId="0" borderId="13"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5" fillId="0" borderId="2"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xf>
    <xf numFmtId="0" fontId="5" fillId="0" borderId="0" xfId="0" applyFont="1" applyAlignment="1">
      <alignment horizontal="center"/>
    </xf>
    <xf numFmtId="0" fontId="0" fillId="0" borderId="9" xfId="0" applyBorder="1" applyAlignment="1">
      <alignment horizontal="left" vertical="top" wrapText="1"/>
    </xf>
    <xf numFmtId="0" fontId="35" fillId="0" borderId="0" xfId="0" applyFont="1" applyAlignment="1">
      <alignment horizontal="right" vertical="center"/>
    </xf>
    <xf numFmtId="0" fontId="35" fillId="0" borderId="7" xfId="0" applyFont="1" applyBorder="1" applyAlignment="1">
      <alignment horizontal="right" vertical="center"/>
    </xf>
    <xf numFmtId="166" fontId="4" fillId="10" borderId="1" xfId="0" applyNumberFormat="1" applyFont="1" applyFill="1" applyBorder="1" applyAlignment="1">
      <alignment horizontal="center"/>
    </xf>
    <xf numFmtId="0" fontId="3" fillId="0" borderId="0" xfId="0" applyFont="1" applyAlignment="1">
      <alignment horizontal="right" vertical="center"/>
    </xf>
    <xf numFmtId="0" fontId="3" fillId="0" borderId="7" xfId="0" applyFont="1" applyBorder="1" applyAlignment="1">
      <alignment horizontal="right" vertical="center"/>
    </xf>
    <xf numFmtId="0" fontId="4" fillId="10" borderId="2" xfId="0" applyFont="1" applyFill="1" applyBorder="1" applyAlignment="1">
      <alignment horizontal="center"/>
    </xf>
    <xf numFmtId="0" fontId="4" fillId="10" borderId="3" xfId="0" applyFont="1" applyFill="1" applyBorder="1" applyAlignment="1">
      <alignment horizontal="center"/>
    </xf>
    <xf numFmtId="0" fontId="4" fillId="0" borderId="0" xfId="0" applyFont="1" applyAlignment="1">
      <alignment horizontal="center"/>
    </xf>
    <xf numFmtId="0" fontId="4" fillId="6" borderId="28" xfId="0" applyFont="1" applyFill="1" applyBorder="1" applyAlignment="1" applyProtection="1">
      <alignment horizontal="center"/>
      <protection locked="0"/>
    </xf>
    <xf numFmtId="0" fontId="4" fillId="6" borderId="9" xfId="0" applyFont="1" applyFill="1" applyBorder="1" applyAlignment="1" applyProtection="1">
      <alignment horizontal="center"/>
      <protection locked="0"/>
    </xf>
    <xf numFmtId="0" fontId="4" fillId="0" borderId="2" xfId="0" applyFont="1" applyBorder="1" applyAlignment="1">
      <alignment horizontal="right"/>
    </xf>
    <xf numFmtId="0" fontId="4" fillId="0" borderId="17" xfId="0" applyFont="1" applyBorder="1" applyAlignment="1">
      <alignment horizontal="right"/>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9" xfId="0" applyBorder="1" applyAlignment="1">
      <alignment horizontal="left" vertical="top"/>
    </xf>
    <xf numFmtId="0" fontId="0" fillId="0" borderId="9" xfId="0" applyBorder="1" applyAlignment="1">
      <alignment horizontal="center" vertical="top" wrapText="1"/>
    </xf>
    <xf numFmtId="0" fontId="4" fillId="0" borderId="1" xfId="0" applyFont="1" applyBorder="1" applyAlignment="1">
      <alignment horizontal="center"/>
    </xf>
    <xf numFmtId="0" fontId="0" fillId="7" borderId="0" xfId="0" applyFill="1" applyAlignment="1">
      <alignment horizontal="center" vertical="center" wrapText="1"/>
    </xf>
    <xf numFmtId="0" fontId="16" fillId="0" borderId="1" xfId="0" applyFont="1" applyBorder="1" applyAlignment="1">
      <alignment horizontal="center"/>
    </xf>
    <xf numFmtId="0" fontId="16" fillId="0" borderId="4" xfId="0" applyFont="1" applyBorder="1" applyAlignment="1">
      <alignment horizontal="left"/>
    </xf>
    <xf numFmtId="0" fontId="16" fillId="0" borderId="1" xfId="0" applyFont="1" applyBorder="1" applyAlignment="1">
      <alignment horizontal="left"/>
    </xf>
    <xf numFmtId="0" fontId="8" fillId="0" borderId="1" xfId="0" applyFont="1" applyBorder="1" applyAlignment="1">
      <alignment horizontal="center"/>
    </xf>
    <xf numFmtId="0" fontId="4" fillId="6" borderId="29" xfId="0" applyFont="1" applyFill="1" applyBorder="1" applyAlignment="1" applyProtection="1">
      <alignment horizontal="center"/>
      <protection locked="0"/>
    </xf>
    <xf numFmtId="0" fontId="4" fillId="0" borderId="17" xfId="0" applyFont="1" applyBorder="1" applyAlignment="1">
      <alignment horizontal="center" vertical="center" wrapText="1"/>
    </xf>
    <xf numFmtId="0" fontId="4" fillId="0" borderId="6" xfId="0" applyFont="1" applyBorder="1" applyAlignment="1">
      <alignment horizontal="center" vertical="center" wrapText="1"/>
    </xf>
    <xf numFmtId="0" fontId="18" fillId="15" borderId="9" xfId="0" applyFont="1" applyFill="1" applyBorder="1" applyAlignment="1">
      <alignment horizontal="left"/>
    </xf>
    <xf numFmtId="0" fontId="0" fillId="0" borderId="21" xfId="0" applyBorder="1" applyAlignment="1">
      <alignment horizontal="center" vertical="center" wrapText="1"/>
    </xf>
    <xf numFmtId="0" fontId="0" fillId="0" borderId="7" xfId="0" applyBorder="1" applyAlignment="1">
      <alignment horizontal="center"/>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0" fillId="0" borderId="7" xfId="0" applyBorder="1" applyAlignment="1">
      <alignment horizontal="center" vertical="center"/>
    </xf>
    <xf numFmtId="0" fontId="4" fillId="0" borderId="5" xfId="0" applyFont="1" applyBorder="1" applyAlignment="1">
      <alignment horizontal="center" vertical="center" wrapText="1"/>
    </xf>
    <xf numFmtId="0" fontId="14" fillId="0" borderId="0" xfId="0" applyFont="1" applyAlignment="1">
      <alignment horizontal="center"/>
    </xf>
    <xf numFmtId="0" fontId="29" fillId="0" borderId="0" xfId="0" applyFont="1" applyAlignment="1">
      <alignment horizontal="center" vertical="top" wrapText="1"/>
    </xf>
    <xf numFmtId="0" fontId="4" fillId="0" borderId="0" xfId="0" applyFont="1" applyAlignment="1">
      <alignment horizontal="center" vertical="top" wrapText="1"/>
    </xf>
    <xf numFmtId="0" fontId="0" fillId="0" borderId="1" xfId="0" applyBorder="1" applyAlignment="1">
      <alignment horizontal="center"/>
    </xf>
    <xf numFmtId="0" fontId="0" fillId="0" borderId="1" xfId="0" applyBorder="1" applyAlignment="1">
      <alignment horizontal="center" vertical="center"/>
    </xf>
    <xf numFmtId="0" fontId="0" fillId="0" borderId="8" xfId="0" applyBorder="1" applyAlignment="1">
      <alignment horizontal="center"/>
    </xf>
    <xf numFmtId="0" fontId="4" fillId="0" borderId="13" xfId="0" applyFont="1" applyBorder="1" applyAlignment="1">
      <alignment horizontal="center" vertical="top" wrapText="1"/>
    </xf>
    <xf numFmtId="0" fontId="0" fillId="0" borderId="13" xfId="0" applyBorder="1" applyAlignment="1">
      <alignment horizontal="center" vertical="top" wrapText="1"/>
    </xf>
    <xf numFmtId="0" fontId="0" fillId="0" borderId="0" xfId="0" applyAlignment="1">
      <alignment horizontal="center" vertical="top" wrapText="1"/>
    </xf>
    <xf numFmtId="0" fontId="4" fillId="0" borderId="3" xfId="0" applyFont="1" applyBorder="1" applyAlignment="1">
      <alignment horizontal="right"/>
    </xf>
    <xf numFmtId="0" fontId="4" fillId="17" borderId="9" xfId="0" applyFont="1" applyFill="1" applyBorder="1" applyAlignment="1" applyProtection="1">
      <alignment horizontal="center"/>
      <protection locked="0"/>
    </xf>
    <xf numFmtId="166" fontId="4" fillId="0" borderId="1" xfId="0" applyNumberFormat="1" applyFont="1" applyBorder="1" applyAlignment="1">
      <alignment horizontal="center"/>
    </xf>
    <xf numFmtId="166" fontId="4" fillId="0" borderId="2" xfId="0" applyNumberFormat="1" applyFont="1" applyBorder="1" applyAlignment="1">
      <alignment horizontal="center"/>
    </xf>
    <xf numFmtId="0" fontId="4" fillId="0" borderId="2" xfId="0" applyFont="1" applyBorder="1" applyAlignment="1">
      <alignment horizontal="center"/>
    </xf>
    <xf numFmtId="0" fontId="4" fillId="0" borderId="27" xfId="0" applyFont="1" applyBorder="1" applyAlignment="1">
      <alignment horizontal="center"/>
    </xf>
    <xf numFmtId="0" fontId="0" fillId="0" borderId="23" xfId="0" applyBorder="1" applyAlignment="1">
      <alignment horizontal="center" vertical="top"/>
    </xf>
    <xf numFmtId="0" fontId="0" fillId="0" borderId="24" xfId="0" applyBorder="1" applyAlignment="1">
      <alignment horizontal="center" vertical="top"/>
    </xf>
    <xf numFmtId="0" fontId="0" fillId="0" borderId="25" xfId="0" applyBorder="1" applyAlignment="1">
      <alignment horizontal="center" vertical="top"/>
    </xf>
    <xf numFmtId="0" fontId="53" fillId="19" borderId="30" xfId="5"/>
    <xf numFmtId="0" fontId="54" fillId="19" borderId="30" xfId="5" applyNumberFormat="1" applyFont="1" applyFill="1" applyBorder="1"/>
    <xf numFmtId="0" fontId="54" fillId="19" borderId="30" xfId="5" applyNumberFormat="1" applyFont="1" applyFill="1" applyBorder="1" applyAlignment="1">
      <alignment vertical="center"/>
    </xf>
    <xf numFmtId="0" fontId="55" fillId="19" borderId="30" xfId="5" applyNumberFormat="1" applyFont="1" applyFill="1" applyBorder="1" applyAlignment="1">
      <alignment vertical="center"/>
    </xf>
    <xf numFmtId="0" fontId="55" fillId="19" borderId="30" xfId="5" applyNumberFormat="1" applyFont="1" applyFill="1" applyBorder="1" applyAlignment="1">
      <alignment vertical="center" wrapText="1"/>
    </xf>
    <xf numFmtId="0" fontId="55" fillId="19" borderId="30" xfId="5" applyNumberFormat="1" applyFont="1" applyFill="1" applyBorder="1" applyAlignment="1">
      <alignment vertical="top" wrapText="1"/>
    </xf>
    <xf numFmtId="0" fontId="56" fillId="19" borderId="30" xfId="5" applyNumberFormat="1" applyFont="1" applyFill="1" applyBorder="1" applyAlignment="1">
      <alignment vertical="center"/>
    </xf>
    <xf numFmtId="0" fontId="56" fillId="19" borderId="30" xfId="5" applyNumberFormat="1" applyFont="1" applyFill="1" applyBorder="1" applyAlignment="1">
      <alignment vertical="center" wrapText="1"/>
    </xf>
    <xf numFmtId="0" fontId="56" fillId="19" borderId="30" xfId="5" applyNumberFormat="1" applyFont="1" applyFill="1" applyBorder="1" applyAlignment="1">
      <alignment vertical="top" wrapText="1"/>
    </xf>
    <xf numFmtId="0" fontId="54" fillId="19" borderId="31" xfId="5" applyNumberFormat="1" applyFont="1" applyFill="1" applyBorder="1" applyAlignment="1">
      <alignment vertical="center"/>
    </xf>
    <xf numFmtId="0" fontId="57" fillId="19" borderId="30" xfId="5" applyNumberFormat="1" applyFont="1" applyFill="1" applyBorder="1" applyAlignment="1">
      <alignment vertical="center"/>
    </xf>
    <xf numFmtId="0" fontId="57" fillId="19" borderId="30" xfId="5" applyNumberFormat="1" applyFont="1" applyFill="1" applyBorder="1" applyAlignment="1">
      <alignment vertical="center" wrapText="1"/>
    </xf>
    <xf numFmtId="0" fontId="57" fillId="19" borderId="30" xfId="5" applyNumberFormat="1" applyFont="1" applyFill="1" applyBorder="1" applyAlignment="1">
      <alignment vertical="top" wrapText="1"/>
    </xf>
    <xf numFmtId="0" fontId="58" fillId="19" borderId="30" xfId="5" applyNumberFormat="1" applyFont="1" applyFill="1" applyBorder="1" applyAlignment="1">
      <alignment vertical="center"/>
    </xf>
    <xf numFmtId="0" fontId="58" fillId="19" borderId="30" xfId="5" applyNumberFormat="1" applyFont="1" applyFill="1" applyBorder="1" applyAlignment="1">
      <alignment vertical="center" wrapText="1"/>
    </xf>
    <xf numFmtId="0" fontId="58" fillId="19" borderId="30" xfId="5" applyNumberFormat="1" applyFont="1" applyFill="1" applyBorder="1" applyAlignment="1">
      <alignment vertical="top" wrapText="1"/>
    </xf>
    <xf numFmtId="0" fontId="59" fillId="19" borderId="30" xfId="5" applyNumberFormat="1" applyFont="1" applyFill="1" applyBorder="1" applyAlignment="1">
      <alignment vertical="top" wrapText="1"/>
    </xf>
    <xf numFmtId="0" fontId="59" fillId="21" borderId="30" xfId="5" applyNumberFormat="1" applyFont="1" applyFill="1" applyBorder="1" applyAlignment="1">
      <alignment vertical="top" wrapText="1"/>
    </xf>
    <xf numFmtId="0" fontId="57" fillId="21" borderId="30" xfId="5" applyNumberFormat="1" applyFont="1" applyFill="1" applyBorder="1" applyAlignment="1">
      <alignment vertical="top" wrapText="1"/>
    </xf>
    <xf numFmtId="0" fontId="59" fillId="22" borderId="30" xfId="5" applyNumberFormat="1" applyFont="1" applyFill="1" applyBorder="1" applyAlignment="1">
      <alignment vertical="top" wrapText="1"/>
    </xf>
    <xf numFmtId="0" fontId="57" fillId="22" borderId="30" xfId="5" applyNumberFormat="1" applyFont="1" applyFill="1" applyBorder="1" applyAlignment="1">
      <alignment vertical="top" wrapText="1"/>
    </xf>
    <xf numFmtId="0" fontId="60" fillId="19" borderId="30" xfId="5" applyNumberFormat="1" applyFont="1" applyFill="1" applyBorder="1"/>
    <xf numFmtId="0" fontId="60" fillId="19" borderId="30" xfId="5" applyNumberFormat="1" applyFont="1" applyFill="1" applyBorder="1" applyAlignment="1">
      <alignment wrapText="1"/>
    </xf>
    <xf numFmtId="0" fontId="60" fillId="19" borderId="30" xfId="5" applyNumberFormat="1" applyFont="1" applyFill="1" applyBorder="1" applyAlignment="1">
      <alignment vertical="top" wrapText="1"/>
    </xf>
    <xf numFmtId="0" fontId="61" fillId="19" borderId="30" xfId="5" applyNumberFormat="1" applyFont="1" applyFill="1" applyBorder="1" applyAlignment="1">
      <alignment vertical="top" wrapText="1"/>
    </xf>
    <xf numFmtId="0" fontId="62" fillId="19" borderId="30" xfId="5" applyNumberFormat="1" applyFont="1" applyFill="1" applyBorder="1"/>
    <xf numFmtId="0" fontId="63" fillId="19" borderId="30" xfId="5" applyNumberFormat="1" applyFont="1" applyFill="1" applyBorder="1" applyAlignment="1">
      <alignment vertical="center"/>
    </xf>
    <xf numFmtId="0" fontId="63" fillId="19" borderId="30" xfId="5" applyNumberFormat="1" applyFont="1" applyFill="1" applyBorder="1" applyAlignment="1">
      <alignment vertical="center" wrapText="1"/>
    </xf>
    <xf numFmtId="0" fontId="63" fillId="19" borderId="30" xfId="5" applyNumberFormat="1" applyFont="1" applyFill="1" applyBorder="1" applyAlignment="1">
      <alignment vertical="top" wrapText="1"/>
    </xf>
    <xf numFmtId="0" fontId="63" fillId="21" borderId="30" xfId="5" applyNumberFormat="1" applyFont="1" applyFill="1" applyBorder="1" applyAlignment="1">
      <alignment vertical="top" wrapText="1"/>
    </xf>
    <xf numFmtId="0" fontId="64" fillId="19" borderId="30" xfId="5" applyNumberFormat="1" applyFont="1" applyFill="1" applyBorder="1" applyAlignment="1">
      <alignment vertical="center"/>
    </xf>
    <xf numFmtId="0" fontId="64" fillId="19" borderId="30" xfId="5" applyNumberFormat="1" applyFont="1" applyFill="1" applyBorder="1" applyAlignment="1">
      <alignment vertical="center" wrapText="1"/>
    </xf>
    <xf numFmtId="0" fontId="64" fillId="19" borderId="30" xfId="5" applyNumberFormat="1" applyFont="1" applyFill="1" applyBorder="1" applyAlignment="1">
      <alignment vertical="top" wrapText="1"/>
    </xf>
    <xf numFmtId="0" fontId="65" fillId="19" borderId="30" xfId="5" applyNumberFormat="1" applyFont="1" applyFill="1" applyBorder="1" applyAlignment="1">
      <alignment vertical="top" wrapText="1"/>
    </xf>
    <xf numFmtId="0" fontId="60" fillId="19" borderId="30" xfId="5" applyNumberFormat="1" applyFont="1" applyFill="1" applyBorder="1" applyAlignment="1">
      <alignment vertical="center"/>
    </xf>
    <xf numFmtId="0" fontId="60" fillId="19" borderId="30" xfId="5" applyNumberFormat="1" applyFont="1" applyFill="1" applyBorder="1" applyAlignment="1">
      <alignment vertical="center" wrapText="1"/>
    </xf>
  </cellXfs>
  <cellStyles count="5">
    <cellStyle name="Milliers" xfId="4" builtinId="3"/>
    <cellStyle name="Normal" xfId="0" builtinId="0"/>
    <cellStyle name="Normal 2" xfId="1" xr:uid="{00000000-0005-0000-0000-000002000000}"/>
    <cellStyle name="Normal 3" xfId="2" xr:uid="{00000000-0005-0000-0000-000003000000}"/>
    <cellStyle name="Normal 4" xfId="3" xr:uid="{00000000-0005-0000-0000-000004000000}"/>
  </cellStyles>
  <dxfs count="0"/>
  <tableStyles count="0" defaultTableStyle="TableStyleMedium2" defaultPivotStyle="PivotStyleLight16"/>
  <colors>
    <mruColors>
      <color rgb="FFB8FA26"/>
      <color rgb="FFB3E971"/>
      <color rgb="FFFF00FF"/>
      <color rgb="FFFF4747"/>
      <color rgb="FFFFA7A7"/>
      <color rgb="FFE60000"/>
      <color rgb="FF00823B"/>
      <color rgb="FFFF7DFF"/>
      <color rgb="FFFF7979"/>
      <color rgb="FFFF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Fr01" Type="http://schemas.openxmlformats.org/officeDocument/2006/relationships/worksheet" Target="fr/worksheets/sheet1.xml"/><Relationship Id="rIdFr02" Type="http://schemas.openxmlformats.org/officeDocument/2006/relationships/worksheet" Target="fr/worksheets/sheet2.xml"/><Relationship Id="rIdFr03" Type="http://schemas.openxmlformats.org/officeDocument/2006/relationships/worksheet" Target="fr/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98728223853254E-2"/>
          <c:y val="3.2299938581372249E-2"/>
          <c:w val="0.82397205929615935"/>
          <c:h val="0.89014335685699442"/>
        </c:manualLayout>
      </c:layout>
      <c:areaChart>
        <c:grouping val="standard"/>
        <c:varyColors val="0"/>
        <c:ser>
          <c:idx val="1"/>
          <c:order val="0"/>
          <c:tx>
            <c:v>Population d’abeilles adultes</c:v>
          </c:tx>
          <c:spPr>
            <a:solidFill>
              <a:srgbClr val="FFE593"/>
            </a:solidFill>
            <a:ln>
              <a:solidFill>
                <a:srgbClr val="FFC000"/>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principal'!$BR$5:$BR$29</c:f>
              <c:numCache>
                <c:formatCode>General</c:formatCode>
                <c:ptCount val="25"/>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8">
                  <c:v>30000</c:v>
                </c:pt>
                <c:pt idx="19">
                  <c:v>24000</c:v>
                </c:pt>
                <c:pt idx="20">
                  <c:v>18000</c:v>
                </c:pt>
                <c:pt idx="21">
                  <c:v>17000</c:v>
                </c:pt>
                <c:pt idx="22">
                  <c:v>16500</c:v>
                </c:pt>
                <c:pt idx="23">
                  <c:v>16000</c:v>
                </c:pt>
                <c:pt idx="24">
                  <c:v>16000</c:v>
                </c:pt>
              </c:numCache>
            </c:numRef>
          </c:val>
          <c:extLst>
            <c:ext xmlns:c16="http://schemas.microsoft.com/office/drawing/2014/chart" uri="{C3380CC4-5D6E-409C-BE32-E72D297353CC}">
              <c16:uniqueId val="{00000000-0E58-486A-8652-D566FB73F97E}"/>
            </c:ext>
          </c:extLst>
        </c:ser>
        <c:ser>
          <c:idx val="2"/>
          <c:order val="2"/>
          <c:tx>
            <c:v>Nombre total de nymphes</c:v>
          </c:tx>
          <c:spPr>
            <a:solidFill>
              <a:srgbClr val="FFC000"/>
            </a:solidFill>
            <a:ln w="12700">
              <a:solidFill>
                <a:schemeClr val="accent6"/>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principal'!$BV$5:$BV$29</c:f>
              <c:numCache>
                <c:formatCode>General</c:formatCode>
                <c:ptCount val="25"/>
                <c:pt idx="0">
                  <c:v>0.6</c:v>
                </c:pt>
                <c:pt idx="1">
                  <c:v>675</c:v>
                </c:pt>
                <c:pt idx="2">
                  <c:v>891</c:v>
                </c:pt>
                <c:pt idx="3">
                  <c:v>2025</c:v>
                </c:pt>
                <c:pt idx="4">
                  <c:v>2700</c:v>
                </c:pt>
                <c:pt idx="5">
                  <c:v>5400</c:v>
                </c:pt>
                <c:pt idx="6">
                  <c:v>8100</c:v>
                </c:pt>
                <c:pt idx="7">
                  <c:v>13500</c:v>
                </c:pt>
                <c:pt idx="8">
                  <c:v>16200</c:v>
                </c:pt>
                <c:pt idx="9">
                  <c:v>17550</c:v>
                </c:pt>
                <c:pt idx="10">
                  <c:v>18900</c:v>
                </c:pt>
                <c:pt idx="11">
                  <c:v>17550</c:v>
                </c:pt>
                <c:pt idx="12">
                  <c:v>16200</c:v>
                </c:pt>
                <c:pt idx="13">
                  <c:v>13500</c:v>
                </c:pt>
                <c:pt idx="14">
                  <c:v>12150</c:v>
                </c:pt>
                <c:pt idx="15">
                  <c:v>10800</c:v>
                </c:pt>
                <c:pt idx="16">
                  <c:v>9450</c:v>
                </c:pt>
                <c:pt idx="17">
                  <c:v>10800</c:v>
                </c:pt>
                <c:pt idx="18">
                  <c:v>5400</c:v>
                </c:pt>
                <c:pt idx="19">
                  <c:v>1350</c:v>
                </c:pt>
                <c:pt idx="20">
                  <c:v>675</c:v>
                </c:pt>
                <c:pt idx="21">
                  <c:v>337.5</c:v>
                </c:pt>
                <c:pt idx="22">
                  <c:v>270</c:v>
                </c:pt>
                <c:pt idx="23">
                  <c:v>0.6</c:v>
                </c:pt>
                <c:pt idx="24">
                  <c:v>337.5</c:v>
                </c:pt>
              </c:numCache>
            </c:numRef>
          </c:val>
          <c:extLst>
            <c:ext xmlns:c16="http://schemas.microsoft.com/office/drawing/2014/chart" uri="{C3380CC4-5D6E-409C-BE32-E72D297353CC}">
              <c16:uniqueId val="{00000001-0E58-486A-8652-D566FB73F97E}"/>
            </c:ext>
          </c:extLst>
        </c:ser>
        <c:ser>
          <c:idx val="6"/>
          <c:order val="3"/>
          <c:tx>
            <c:v>Nymphes parasitées</c:v>
          </c:tx>
          <c:spPr>
            <a:solidFill>
              <a:srgbClr val="FF0000">
                <a:alpha val="50000"/>
              </a:srgbClr>
            </a:solidFill>
            <a:ln w="12700">
              <a:solidFill>
                <a:srgbClr val="FF0000"/>
              </a:solidFill>
              <a:prstDash val="solid"/>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principal'!$BW$5:$BW$29</c:f>
              <c:numCache>
                <c:formatCode>0</c:formatCode>
                <c:ptCount val="25"/>
                <c:pt idx="0">
                  <c:v>0</c:v>
                </c:pt>
                <c:pt idx="1">
                  <c:v>35.747175646525996</c:v>
                </c:pt>
                <c:pt idx="2">
                  <c:v>40.716517047775838</c:v>
                </c:pt>
                <c:pt idx="3">
                  <c:v>60.9809465685221</c:v>
                </c:pt>
                <c:pt idx="4">
                  <c:v>82.681464489428109</c:v>
                </c:pt>
                <c:pt idx="5">
                  <c:v>135.35432352785415</c:v>
                </c:pt>
                <c:pt idx="6">
                  <c:v>199.88078715942584</c:v>
                </c:pt>
                <c:pt idx="7">
                  <c:v>309.7128168787234</c:v>
                </c:pt>
                <c:pt idx="8">
                  <c:v>470.87671267362936</c:v>
                </c:pt>
                <c:pt idx="9">
                  <c:v>689.12202094963266</c:v>
                </c:pt>
                <c:pt idx="10">
                  <c:v>1030.3707694003156</c:v>
                </c:pt>
                <c:pt idx="11">
                  <c:v>1420.5481302330581</c:v>
                </c:pt>
                <c:pt idx="12">
                  <c:v>1902.0879601168067</c:v>
                </c:pt>
                <c:pt idx="13">
                  <c:v>2420.8070715111312</c:v>
                </c:pt>
                <c:pt idx="14">
                  <c:v>3040.2091487330536</c:v>
                </c:pt>
                <c:pt idx="15">
                  <c:v>3779.559641126008</c:v>
                </c:pt>
                <c:pt idx="16">
                  <c:v>1221.2725059464972</c:v>
                </c:pt>
                <c:pt idx="17">
                  <c:v>1613.2254870631184</c:v>
                </c:pt>
                <c:pt idx="18">
                  <c:v>1697.3918452984603</c:v>
                </c:pt>
                <c:pt idx="19">
                  <c:v>1016.6456832852436</c:v>
                </c:pt>
                <c:pt idx="20">
                  <c:v>579.71775358442017</c:v>
                </c:pt>
                <c:pt idx="21">
                  <c:v>315.79671279476065</c:v>
                </c:pt>
                <c:pt idx="22">
                  <c:v>255.94868717474108</c:v>
                </c:pt>
                <c:pt idx="23">
                  <c:v>0</c:v>
                </c:pt>
                <c:pt idx="24">
                  <c:v>291.42008353492895</c:v>
                </c:pt>
              </c:numCache>
            </c:numRef>
          </c:val>
          <c:extLst>
            <c:ext xmlns:c16="http://schemas.microsoft.com/office/drawing/2014/chart" uri="{C3380CC4-5D6E-409C-BE32-E72D297353CC}">
              <c16:uniqueId val="{00000002-0E58-486A-8652-D566FB73F97E}"/>
            </c:ext>
          </c:extLst>
        </c:ser>
        <c:dLbls>
          <c:showLegendKey val="0"/>
          <c:showVal val="0"/>
          <c:showCatName val="0"/>
          <c:showSerName val="0"/>
          <c:showPercent val="0"/>
          <c:showBubbleSize val="0"/>
        </c:dLbls>
        <c:axId val="351181056"/>
        <c:axId val="351191040"/>
      </c:areaChart>
      <c:areaChart>
        <c:grouping val="standard"/>
        <c:varyColors val="0"/>
        <c:ser>
          <c:idx val="9"/>
          <c:order val="9"/>
          <c:tx>
            <c:v>Effondrement</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3-0E58-486A-8652-D566FB73F97E}"/>
            </c:ext>
          </c:extLst>
        </c:ser>
        <c:ser>
          <c:idx val="10"/>
          <c:order val="10"/>
          <c:tx>
            <c:v>Effondrement hivernal</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4-0E58-486A-8652-D566FB73F97E}"/>
            </c:ext>
          </c:extLst>
        </c:ser>
        <c:dLbls>
          <c:showLegendKey val="0"/>
          <c:showVal val="0"/>
          <c:showCatName val="0"/>
          <c:showSerName val="0"/>
          <c:showPercent val="0"/>
          <c:showBubbleSize val="0"/>
        </c:dLbls>
        <c:axId val="361955328"/>
        <c:axId val="351192960"/>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7.6655196573145165E-2"/>
                  <c:y val="2.56703214158884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E58-486A-8652-D566FB73F97E}"/>
                </c:ext>
              </c:extLst>
            </c:dLbl>
            <c:dLbl>
              <c:idx val="1"/>
              <c:delete val="1"/>
              <c:extLst>
                <c:ext xmlns:c15="http://schemas.microsoft.com/office/drawing/2012/chart" uri="{CE6537A1-D6FC-4f65-9D91-7224C49458BB}"/>
                <c:ext xmlns:c16="http://schemas.microsoft.com/office/drawing/2014/chart" uri="{C3380CC4-5D6E-409C-BE32-E72D297353CC}">
                  <c16:uniqueId val="{00000006-0E58-486A-8652-D566FB73F97E}"/>
                </c:ext>
              </c:extLst>
            </c:dLbl>
            <c:dLbl>
              <c:idx val="2"/>
              <c:delete val="1"/>
              <c:extLst>
                <c:ext xmlns:c15="http://schemas.microsoft.com/office/drawing/2012/chart" uri="{CE6537A1-D6FC-4f65-9D91-7224C49458BB}"/>
                <c:ext xmlns:c16="http://schemas.microsoft.com/office/drawing/2014/chart" uri="{C3380CC4-5D6E-409C-BE32-E72D297353CC}">
                  <c16:uniqueId val="{00000007-0E58-486A-8652-D566FB73F97E}"/>
                </c:ext>
              </c:extLst>
            </c:dLbl>
            <c:dLbl>
              <c:idx val="3"/>
              <c:delete val="1"/>
              <c:extLst>
                <c:ext xmlns:c15="http://schemas.microsoft.com/office/drawing/2012/chart" uri="{CE6537A1-D6FC-4f65-9D91-7224C49458BB}"/>
                <c:ext xmlns:c16="http://schemas.microsoft.com/office/drawing/2014/chart" uri="{C3380CC4-5D6E-409C-BE32-E72D297353CC}">
                  <c16:uniqueId val="{00000008-0E58-486A-8652-D566FB73F97E}"/>
                </c:ext>
              </c:extLst>
            </c:dLbl>
            <c:dLbl>
              <c:idx val="4"/>
              <c:delete val="1"/>
              <c:extLst>
                <c:ext xmlns:c15="http://schemas.microsoft.com/office/drawing/2012/chart" uri="{CE6537A1-D6FC-4f65-9D91-7224C49458BB}"/>
                <c:ext xmlns:c16="http://schemas.microsoft.com/office/drawing/2014/chart" uri="{C3380CC4-5D6E-409C-BE32-E72D297353CC}">
                  <c16:uniqueId val="{00000009-0E58-486A-8652-D566FB73F97E}"/>
                </c:ext>
              </c:extLst>
            </c:dLbl>
            <c:dLbl>
              <c:idx val="5"/>
              <c:delete val="1"/>
              <c:extLst>
                <c:ext xmlns:c15="http://schemas.microsoft.com/office/drawing/2012/chart" uri="{CE6537A1-D6FC-4f65-9D91-7224C49458BB}"/>
                <c:ext xmlns:c16="http://schemas.microsoft.com/office/drawing/2014/chart" uri="{C3380CC4-5D6E-409C-BE32-E72D297353CC}">
                  <c16:uniqueId val="{0000000A-0E58-486A-8652-D566FB73F97E}"/>
                </c:ext>
              </c:extLst>
            </c:dLbl>
            <c:dLbl>
              <c:idx val="6"/>
              <c:delete val="1"/>
              <c:extLst>
                <c:ext xmlns:c15="http://schemas.microsoft.com/office/drawing/2012/chart" uri="{CE6537A1-D6FC-4f65-9D91-7224C49458BB}"/>
                <c:ext xmlns:c16="http://schemas.microsoft.com/office/drawing/2014/chart" uri="{C3380CC4-5D6E-409C-BE32-E72D297353CC}">
                  <c16:uniqueId val="{0000000B-0E58-486A-8652-D566FB73F97E}"/>
                </c:ext>
              </c:extLst>
            </c:dLbl>
            <c:dLbl>
              <c:idx val="7"/>
              <c:delete val="1"/>
              <c:extLst>
                <c:ext xmlns:c15="http://schemas.microsoft.com/office/drawing/2012/chart" uri="{CE6537A1-D6FC-4f65-9D91-7224C49458BB}"/>
                <c:ext xmlns:c16="http://schemas.microsoft.com/office/drawing/2014/chart" uri="{C3380CC4-5D6E-409C-BE32-E72D297353CC}">
                  <c16:uniqueId val="{0000000C-0E58-486A-8652-D566FB73F97E}"/>
                </c:ext>
              </c:extLst>
            </c:dLbl>
            <c:dLbl>
              <c:idx val="8"/>
              <c:delete val="1"/>
              <c:extLst>
                <c:ext xmlns:c15="http://schemas.microsoft.com/office/drawing/2012/chart" uri="{CE6537A1-D6FC-4f65-9D91-7224C49458BB}"/>
                <c:ext xmlns:c16="http://schemas.microsoft.com/office/drawing/2014/chart" uri="{C3380CC4-5D6E-409C-BE32-E72D297353CC}">
                  <c16:uniqueId val="{0000000D-0E58-486A-8652-D566FB73F97E}"/>
                </c:ext>
              </c:extLst>
            </c:dLbl>
            <c:dLbl>
              <c:idx val="9"/>
              <c:delete val="1"/>
              <c:extLst>
                <c:ext xmlns:c15="http://schemas.microsoft.com/office/drawing/2012/chart" uri="{CE6537A1-D6FC-4f65-9D91-7224C49458BB}"/>
                <c:ext xmlns:c16="http://schemas.microsoft.com/office/drawing/2014/chart" uri="{C3380CC4-5D6E-409C-BE32-E72D297353CC}">
                  <c16:uniqueId val="{0000000E-0E58-486A-8652-D566FB73F97E}"/>
                </c:ext>
              </c:extLst>
            </c:dLbl>
            <c:dLbl>
              <c:idx val="10"/>
              <c:delete val="1"/>
              <c:extLst>
                <c:ext xmlns:c15="http://schemas.microsoft.com/office/drawing/2012/chart" uri="{CE6537A1-D6FC-4f65-9D91-7224C49458BB}"/>
                <c:ext xmlns:c16="http://schemas.microsoft.com/office/drawing/2014/chart" uri="{C3380CC4-5D6E-409C-BE32-E72D297353CC}">
                  <c16:uniqueId val="{0000000F-0E58-486A-8652-D566FB73F97E}"/>
                </c:ext>
              </c:extLst>
            </c:dLbl>
            <c:dLbl>
              <c:idx val="11"/>
              <c:delete val="1"/>
              <c:extLst>
                <c:ext xmlns:c15="http://schemas.microsoft.com/office/drawing/2012/chart" uri="{CE6537A1-D6FC-4f65-9D91-7224C49458BB}"/>
                <c:ext xmlns:c16="http://schemas.microsoft.com/office/drawing/2014/chart" uri="{C3380CC4-5D6E-409C-BE32-E72D297353CC}">
                  <c16:uniqueId val="{00000010-0E58-486A-8652-D566FB73F97E}"/>
                </c:ext>
              </c:extLst>
            </c:dLbl>
            <c:dLbl>
              <c:idx val="12"/>
              <c:delete val="1"/>
              <c:extLst>
                <c:ext xmlns:c15="http://schemas.microsoft.com/office/drawing/2012/chart" uri="{CE6537A1-D6FC-4f65-9D91-7224C49458BB}"/>
                <c:ext xmlns:c16="http://schemas.microsoft.com/office/drawing/2014/chart" uri="{C3380CC4-5D6E-409C-BE32-E72D297353CC}">
                  <c16:uniqueId val="{00000011-0E58-486A-8652-D566FB73F97E}"/>
                </c:ext>
              </c:extLst>
            </c:dLbl>
            <c:dLbl>
              <c:idx val="13"/>
              <c:delete val="1"/>
              <c:extLst>
                <c:ext xmlns:c15="http://schemas.microsoft.com/office/drawing/2012/chart" uri="{CE6537A1-D6FC-4f65-9D91-7224C49458BB}"/>
                <c:ext xmlns:c16="http://schemas.microsoft.com/office/drawing/2014/chart" uri="{C3380CC4-5D6E-409C-BE32-E72D297353CC}">
                  <c16:uniqueId val="{00000012-0E58-486A-8652-D566FB73F97E}"/>
                </c:ext>
              </c:extLst>
            </c:dLbl>
            <c:dLbl>
              <c:idx val="14"/>
              <c:delete val="1"/>
              <c:extLst>
                <c:ext xmlns:c15="http://schemas.microsoft.com/office/drawing/2012/chart" uri="{CE6537A1-D6FC-4f65-9D91-7224C49458BB}"/>
                <c:ext xmlns:c16="http://schemas.microsoft.com/office/drawing/2014/chart" uri="{C3380CC4-5D6E-409C-BE32-E72D297353CC}">
                  <c16:uniqueId val="{00000013-0E58-486A-8652-D566FB73F97E}"/>
                </c:ext>
              </c:extLst>
            </c:dLbl>
            <c:dLbl>
              <c:idx val="15"/>
              <c:delete val="1"/>
              <c:extLst>
                <c:ext xmlns:c15="http://schemas.microsoft.com/office/drawing/2012/chart" uri="{CE6537A1-D6FC-4f65-9D91-7224C49458BB}"/>
                <c:ext xmlns:c16="http://schemas.microsoft.com/office/drawing/2014/chart" uri="{C3380CC4-5D6E-409C-BE32-E72D297353CC}">
                  <c16:uniqueId val="{00000014-0E58-486A-8652-D566FB73F97E}"/>
                </c:ext>
              </c:extLst>
            </c:dLbl>
            <c:dLbl>
              <c:idx val="16"/>
              <c:delete val="1"/>
              <c:extLst>
                <c:ext xmlns:c15="http://schemas.microsoft.com/office/drawing/2012/chart" uri="{CE6537A1-D6FC-4f65-9D91-7224C49458BB}"/>
                <c:ext xmlns:c16="http://schemas.microsoft.com/office/drawing/2014/chart" uri="{C3380CC4-5D6E-409C-BE32-E72D297353CC}">
                  <c16:uniqueId val="{00000015-0E58-486A-8652-D566FB73F97E}"/>
                </c:ext>
              </c:extLst>
            </c:dLbl>
            <c:dLbl>
              <c:idx val="17"/>
              <c:delete val="1"/>
              <c:extLst>
                <c:ext xmlns:c15="http://schemas.microsoft.com/office/drawing/2012/chart" uri="{CE6537A1-D6FC-4f65-9D91-7224C49458BB}"/>
                <c:ext xmlns:c16="http://schemas.microsoft.com/office/drawing/2014/chart" uri="{C3380CC4-5D6E-409C-BE32-E72D297353CC}">
                  <c16:uniqueId val="{00000016-0E58-486A-8652-D566FB73F97E}"/>
                </c:ext>
              </c:extLst>
            </c:dLbl>
            <c:dLbl>
              <c:idx val="18"/>
              <c:delete val="1"/>
              <c:extLst>
                <c:ext xmlns:c15="http://schemas.microsoft.com/office/drawing/2012/chart" uri="{CE6537A1-D6FC-4f65-9D91-7224C49458BB}"/>
                <c:ext xmlns:c16="http://schemas.microsoft.com/office/drawing/2014/chart" uri="{C3380CC4-5D6E-409C-BE32-E72D297353CC}">
                  <c16:uniqueId val="{00000017-0E58-486A-8652-D566FB73F97E}"/>
                </c:ext>
              </c:extLst>
            </c:dLbl>
            <c:dLbl>
              <c:idx val="19"/>
              <c:delete val="1"/>
              <c:extLst>
                <c:ext xmlns:c15="http://schemas.microsoft.com/office/drawing/2012/chart" uri="{CE6537A1-D6FC-4f65-9D91-7224C49458BB}"/>
                <c:ext xmlns:c16="http://schemas.microsoft.com/office/drawing/2014/chart" uri="{C3380CC4-5D6E-409C-BE32-E72D297353CC}">
                  <c16:uniqueId val="{00000018-0E58-486A-8652-D566FB73F97E}"/>
                </c:ext>
              </c:extLst>
            </c:dLbl>
            <c:dLbl>
              <c:idx val="20"/>
              <c:delete val="1"/>
              <c:extLst>
                <c:ext xmlns:c15="http://schemas.microsoft.com/office/drawing/2012/chart" uri="{CE6537A1-D6FC-4f65-9D91-7224C49458BB}"/>
                <c:ext xmlns:c16="http://schemas.microsoft.com/office/drawing/2014/chart" uri="{C3380CC4-5D6E-409C-BE32-E72D297353CC}">
                  <c16:uniqueId val="{00000019-0E58-486A-8652-D566FB73F97E}"/>
                </c:ext>
              </c:extLst>
            </c:dLbl>
            <c:dLbl>
              <c:idx val="21"/>
              <c:delete val="1"/>
              <c:extLst>
                <c:ext xmlns:c15="http://schemas.microsoft.com/office/drawing/2012/chart" uri="{CE6537A1-D6FC-4f65-9D91-7224C49458BB}"/>
                <c:ext xmlns:c16="http://schemas.microsoft.com/office/drawing/2014/chart" uri="{C3380CC4-5D6E-409C-BE32-E72D297353CC}">
                  <c16:uniqueId val="{0000001A-0E58-486A-8652-D566FB73F97E}"/>
                </c:ext>
              </c:extLst>
            </c:dLbl>
            <c:dLbl>
              <c:idx val="22"/>
              <c:delete val="1"/>
              <c:extLst>
                <c:ext xmlns:c15="http://schemas.microsoft.com/office/drawing/2012/chart" uri="{CE6537A1-D6FC-4f65-9D91-7224C49458BB}"/>
                <c:ext xmlns:c16="http://schemas.microsoft.com/office/drawing/2014/chart" uri="{C3380CC4-5D6E-409C-BE32-E72D297353CC}">
                  <c16:uniqueId val="{0000001B-0E58-486A-8652-D566FB73F97E}"/>
                </c:ext>
              </c:extLst>
            </c:dLbl>
            <c:dLbl>
              <c:idx val="23"/>
              <c:delete val="1"/>
              <c:extLst>
                <c:ext xmlns:c15="http://schemas.microsoft.com/office/drawing/2012/chart" uri="{CE6537A1-D6FC-4f65-9D91-7224C49458BB}"/>
                <c:ext xmlns:c16="http://schemas.microsoft.com/office/drawing/2014/chart" uri="{C3380CC4-5D6E-409C-BE32-E72D297353CC}">
                  <c16:uniqueId val="{0000001C-0E58-486A-8652-D566FB73F97E}"/>
                </c:ext>
              </c:extLst>
            </c:dLbl>
            <c:dLbl>
              <c:idx val="24"/>
              <c:layout>
                <c:manualLayout>
                  <c:x val="2.8201546302984364E-2"/>
                  <c:y val="3.8053828995913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0E58-486A-8652-D566FB73F97E}"/>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principal'!$BB$5:$BB$29</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1825.1496160378006</c:v>
                </c:pt>
                <c:pt idx="11">
                  <c:v>2708.7749400694211</c:v>
                </c:pt>
                <c:pt idx="12">
                  <c:v>3862.1691866233855</c:v>
                </c:pt>
                <c:pt idx="13">
                  <c:v>5378.3159131916264</c:v>
                </c:pt>
                <c:pt idx="14">
                  <c:v>7230.7195926645572</c:v>
                </c:pt>
                <c:pt idx="15">
                  <c:v>9590.6365557186346</c:v>
                </c:pt>
                <c:pt idx="16">
                  <c:v>2460.1022854654038</c:v>
                </c:pt>
                <c:pt idx="17">
                  <c:v>3052.4382048365969</c:v>
                </c:pt>
                <c:pt idx="18">
                  <c:v>3909.0644346215081</c:v>
                </c:pt>
                <c:pt idx="19">
                  <c:v>4537.2431951693252</c:v>
                </c:pt>
                <c:pt idx="20">
                  <c:v>3398.9403589717499</c:v>
                </c:pt>
                <c:pt idx="21">
                  <c:v>2627.3572856939195</c:v>
                </c:pt>
                <c:pt idx="22">
                  <c:v>2328.2397431380459</c:v>
                </c:pt>
                <c:pt idx="23">
                  <c:v>0</c:v>
                </c:pt>
                <c:pt idx="24">
                  <c:v>0</c:v>
                </c:pt>
              </c:numCache>
            </c:numRef>
          </c:val>
          <c:smooth val="0"/>
          <c:extLst>
            <c:ext xmlns:c16="http://schemas.microsoft.com/office/drawing/2014/chart" uri="{C3380CC4-5D6E-409C-BE32-E72D297353CC}">
              <c16:uniqueId val="{0000001E-0E58-486A-8652-D566FB73F97E}"/>
            </c:ext>
          </c:extLst>
        </c:ser>
        <c:ser>
          <c:idx val="7"/>
          <c:order val="7"/>
          <c:tx>
            <c:v>Arrivées de varroas (immigration)</c:v>
          </c:tx>
          <c:spPr>
            <a:ln>
              <a:noFill/>
              <a:prstDash val="sysDot"/>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principal'!$DM$5:$DM$29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0E58-486A-8652-D566FB73F97E}"/>
            </c:ext>
          </c:extLst>
        </c:ser>
        <c:dLbls>
          <c:showLegendKey val="0"/>
          <c:showVal val="0"/>
          <c:showCatName val="0"/>
          <c:showSerName val="0"/>
          <c:showPercent val="0"/>
          <c:showBubbleSize val="0"/>
        </c:dLbls>
        <c:marker val="1"/>
        <c:smooth val="0"/>
        <c:axId val="351181056"/>
        <c:axId val="351191040"/>
      </c:lineChart>
      <c:lineChart>
        <c:grouping val="standard"/>
        <c:varyColors val="0"/>
        <c:ser>
          <c:idx val="0"/>
          <c:order val="4"/>
          <c:tx>
            <c:v>Comptage des varroas par lavage d’environ 120 mL d’abeilles (½ tasse dans l’original)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principal'!$BE$5:$BE$29</c:f>
              <c:numCache>
                <c:formatCode>0</c:formatCode>
                <c:ptCount val="25"/>
                <c:pt idx="0">
                  <c:v>1.96875</c:v>
                </c:pt>
                <c:pt idx="1">
                  <c:v>1.1011521708318264</c:v>
                </c:pt>
                <c:pt idx="2">
                  <c:v>1.1545713362615053</c:v>
                </c:pt>
                <c:pt idx="3">
                  <c:v>1.4063098328231911</c:v>
                </c:pt>
                <c:pt idx="4">
                  <c:v>1.6807740031481844</c:v>
                </c:pt>
                <c:pt idx="5">
                  <c:v>1.9306319695748368</c:v>
                </c:pt>
                <c:pt idx="6">
                  <c:v>2.1188047519507256</c:v>
                </c:pt>
                <c:pt idx="7">
                  <c:v>2.0159762222785864</c:v>
                </c:pt>
                <c:pt idx="8">
                  <c:v>2.6979622282267659</c:v>
                </c:pt>
                <c:pt idx="9">
                  <c:v>3.7530574363797853</c:v>
                </c:pt>
                <c:pt idx="10">
                  <c:v>5.0083106970590272</c:v>
                </c:pt>
                <c:pt idx="11">
                  <c:v>7.1712816880920052</c:v>
                </c:pt>
                <c:pt idx="12">
                  <c:v>10.043952528939812</c:v>
                </c:pt>
                <c:pt idx="13">
                  <c:v>14.514571022237503</c:v>
                </c:pt>
                <c:pt idx="14">
                  <c:v>20.151157046094426</c:v>
                </c:pt>
                <c:pt idx="15">
                  <c:v>30.283070149631577</c:v>
                </c:pt>
                <c:pt idx="16">
                  <c:v>8.9596445867041368</c:v>
                </c:pt>
                <c:pt idx="17">
                  <c:v>11.907250671366304</c:v>
                </c:pt>
                <c:pt idx="18">
                  <c:v>19.648780898481384</c:v>
                </c:pt>
                <c:pt idx="19">
                  <c:v>34.768917562042915</c:v>
                </c:pt>
                <c:pt idx="20">
                  <c:v>36.354126485599984</c:v>
                </c:pt>
                <c:pt idx="21">
                  <c:v>31.522660283108419</c:v>
                </c:pt>
                <c:pt idx="22">
                  <c:v>29.212891690707526</c:v>
                </c:pt>
                <c:pt idx="23">
                  <c:v>0</c:v>
                </c:pt>
                <c:pt idx="24">
                  <c:v>0</c:v>
                </c:pt>
              </c:numCache>
            </c:numRef>
          </c:val>
          <c:smooth val="0"/>
          <c:extLst>
            <c:ext xmlns:c16="http://schemas.microsoft.com/office/drawing/2014/chart" uri="{C3380CC4-5D6E-409C-BE32-E72D297353CC}">
              <c16:uniqueId val="{00000020-0E58-486A-8652-D566FB73F97E}"/>
            </c:ext>
          </c:extLst>
        </c:ser>
        <c:ser>
          <c:idx val="4"/>
          <c:order val="5"/>
          <c:tx>
            <c:v>Comptage moyen par lavage aux États-Unis</c:v>
          </c:tx>
          <c:spPr>
            <a:ln w="25400">
              <a:noFill/>
              <a:prstDash val="dash"/>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principal'!$ET$5:$ET$28</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0E58-486A-8652-D566FB73F97E}"/>
            </c:ext>
          </c:extLst>
        </c:ser>
        <c:ser>
          <c:idx val="5"/>
          <c:order val="6"/>
          <c:tx>
            <c:v>Traitement et efficacité</c:v>
          </c:tx>
          <c:spPr>
            <a:ln>
              <a:noFill/>
            </a:ln>
          </c:spPr>
          <c:marker>
            <c:symbol val="triangle"/>
            <c:size val="16"/>
            <c:spPr>
              <a:solidFill>
                <a:schemeClr val="tx1"/>
              </a:solidFill>
              <a:ln>
                <a:noFill/>
              </a:ln>
            </c:spPr>
          </c:marker>
          <c:dLbls>
            <c:dLbl>
              <c:idx val="24"/>
              <c:delete val="1"/>
              <c:extLst>
                <c:ext xmlns:c15="http://schemas.microsoft.com/office/drawing/2012/chart" uri="{CE6537A1-D6FC-4f65-9D91-7224C49458BB}"/>
                <c:ext xmlns:c16="http://schemas.microsoft.com/office/drawing/2014/chart" uri="{C3380CC4-5D6E-409C-BE32-E72D297353CC}">
                  <c16:uniqueId val="{00000022-0E58-486A-8652-D566FB73F97E}"/>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principal'!$D$21:$AA$21</c:f>
              <c:numCache>
                <c:formatCode>0%</c:formatCode>
                <c:ptCount val="24"/>
                <c:pt idx="15">
                  <c:v>0.8</c:v>
                </c:pt>
              </c:numCache>
            </c:numRef>
          </c:val>
          <c:smooth val="0"/>
          <c:extLst>
            <c:ext xmlns:c16="http://schemas.microsoft.com/office/drawing/2014/chart" uri="{C3380CC4-5D6E-409C-BE32-E72D297353CC}">
              <c16:uniqueId val="{00000023-0E58-486A-8652-D566FB73F97E}"/>
            </c:ext>
          </c:extLst>
        </c:ser>
        <c:ser>
          <c:idx val="8"/>
          <c:order val="8"/>
          <c:tx>
            <c:v>Taux logarithmique quotidien r</c:v>
          </c:tx>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principal'!$AX$25</c:f>
              <c:numCache>
                <c:formatCode>0.000</c:formatCode>
                <c:ptCount val="1"/>
                <c:pt idx="0">
                  <c:v>1.2155481239808332E-2</c:v>
                </c:pt>
              </c:numCache>
            </c:numRef>
          </c:val>
          <c:smooth val="0"/>
          <c:extLst>
            <c:ext xmlns:c16="http://schemas.microsoft.com/office/drawing/2014/chart" uri="{C3380CC4-5D6E-409C-BE32-E72D297353CC}">
              <c16:uniqueId val="{00000024-0E58-486A-8652-D566FB73F97E}"/>
            </c:ext>
          </c:extLst>
        </c:ser>
        <c:dLbls>
          <c:showLegendKey val="0"/>
          <c:showVal val="0"/>
          <c:showCatName val="0"/>
          <c:showSerName val="0"/>
          <c:showPercent val="0"/>
          <c:showBubbleSize val="0"/>
        </c:dLbls>
        <c:marker val="1"/>
        <c:smooth val="0"/>
        <c:axId val="361955328"/>
        <c:axId val="351192960"/>
      </c:lineChart>
      <c:dateAx>
        <c:axId val="351181056"/>
        <c:scaling>
          <c:orientation val="minMax"/>
        </c:scaling>
        <c:delete val="0"/>
        <c:axPos val="b"/>
        <c:numFmt formatCode="[$-40C]d\ mmm;@" sourceLinked="0"/>
        <c:majorTickMark val="out"/>
        <c:minorTickMark val="none"/>
        <c:tickLblPos val="nextTo"/>
        <c:txPr>
          <a:bodyPr/>
          <a:lstStyle/>
          <a:p>
            <a:pPr>
              <a:defRPr baseline="0" lang="fr-FR">
                <a:solidFill>
                  <a:schemeClr val="tx1"/>
                </a:solidFill>
              </a:defRPr>
            </a:pPr>
            <a:endParaRPr lang="fr-FR"/>
          </a:p>
        </c:txPr>
        <c:crossAx val="351191040"/>
        <c:crosses val="autoZero"/>
        <c:auto val="0"/>
        <c:lblOffset val="100"/>
        <c:baseTimeUnit val="days"/>
        <c:majorUnit val="1"/>
        <c:majorTimeUnit val="months"/>
        <c:minorUnit val="1"/>
        <c:minorTimeUnit val="months"/>
      </c:dateAx>
      <c:valAx>
        <c:axId val="351191040"/>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9.0387644388732671E-3"/>
              <c:y val="3.3385597277255114E-3"/>
            </c:manualLayout>
          </c:layout>
          <c:overlay val="0"/>
        </c:title>
        <c:numFmt formatCode="#,##0" sourceLinked="0"/>
        <c:majorTickMark val="out"/>
        <c:minorTickMark val="none"/>
        <c:tickLblPos val="nextTo"/>
        <c:txPr>
          <a:bodyPr/>
          <a:lstStyle/>
          <a:p>
            <a:pPr>
              <a:defRPr sz="900" lang="fr-FR"/>
            </a:pPr>
            <a:endParaRPr lang="fr-FR"/>
          </a:p>
        </c:txPr>
        <c:crossAx val="351181056"/>
        <c:crossesAt val="40544"/>
        <c:crossBetween val="midCat"/>
      </c:valAx>
      <c:valAx>
        <c:axId val="351192960"/>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879689702863301"/>
              <c:y val="6.0772618249827833E-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361955328"/>
        <c:crosses val="max"/>
        <c:crossBetween val="between"/>
      </c:valAx>
      <c:dateAx>
        <c:axId val="361955328"/>
        <c:scaling>
          <c:orientation val="minMax"/>
        </c:scaling>
        <c:delete val="1"/>
        <c:axPos val="b"/>
        <c:numFmt formatCode="[$-40C]d\-mmm;@" sourceLinked="1"/>
        <c:majorTickMark val="out"/>
        <c:minorTickMark val="none"/>
        <c:tickLblPos val="none"/>
        <c:crossAx val="351192960"/>
        <c:crosses val="autoZero"/>
        <c:auto val="1"/>
        <c:lblOffset val="100"/>
        <c:baseTimeUnit val="days"/>
        <c:majorUnit val="1"/>
        <c:minorUnit val="1"/>
      </c:dateAx>
      <c:spPr>
        <a:noFill/>
        <a:ln w="25400">
          <a:noFill/>
        </a:ln>
      </c:spPr>
    </c:plotArea>
    <c:plotVisOnly val="1"/>
    <c:dispBlanksAs val="span"/>
    <c:showDLblsOverMax val="0"/>
  </c:chart>
  <c:spPr>
    <a:solidFill>
      <a:schemeClr val="bg1"/>
    </a:solidFill>
  </c:spPr>
  <c:printSettings>
    <c:headerFooter/>
    <c:pageMargins b="0" l="0.70000000000000007" r="0.70000000000000007" t="0.75000000000000011" header="0.30000000000000004" footer="0.30000000000000004"/>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Données de Boot, étendues</c:v>
          </c:tx>
          <c:spPr>
            <a:ln w="28575">
              <a:noFill/>
              <a:prstDash val="sysDash"/>
            </a:ln>
          </c:spPr>
          <c:marker>
            <c:symbol val="circle"/>
            <c:size val="5"/>
          </c:marker>
          <c:trendline>
            <c:trendlineType val="log"/>
            <c:dispRSqr val="0"/>
            <c:dispEq val="1"/>
            <c:trendlineLbl>
              <c:layout>
                <c:manualLayout>
                  <c:x val="-0.1851113055312531"/>
                  <c:y val="-0.38620152045027067"/>
                </c:manualLayout>
              </c:layout>
              <c:numFmt formatCode="#,##0.0000" sourceLinked="0"/>
            </c:trendlineLbl>
          </c:trendline>
          <c:xVal>
            <c:numRef>
              <c:f>'Modèle principal'!$CB$89:$CB$107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'Modèle principal'!$CC$89:$CC$107</c:f>
              <c:numCache>
                <c:formatCode>General</c:formatCode>
                <c:ptCount val="19"/>
                <c:pt idx="0">
                  <c:v>40</c:v>
                </c:pt>
                <c:pt idx="1">
                  <c:v>30</c:v>
                </c:pt>
                <c:pt idx="2">
                  <c:v>20</c:v>
                </c:pt>
                <c:pt idx="3">
                  <c:v>17</c:v>
                </c:pt>
                <c:pt idx="4" formatCode="0.0">
                  <c:v>14.285714285714285</c:v>
                </c:pt>
                <c:pt idx="5" formatCode="0.0">
                  <c:v>12.5</c:v>
                </c:pt>
                <c:pt idx="6" formatCode="0.0">
                  <c:v>10.526315789473685</c:v>
                </c:pt>
                <c:pt idx="7" formatCode="0.0">
                  <c:v>9.0909090909090917</c:v>
                </c:pt>
                <c:pt idx="8" formatCode="0.0">
                  <c:v>7.6923076923076916</c:v>
                </c:pt>
                <c:pt idx="9" formatCode="0.0">
                  <c:v>6.666666666666667</c:v>
                </c:pt>
                <c:pt idx="10" formatCode="0.0">
                  <c:v>4.2105263157894735</c:v>
                </c:pt>
                <c:pt idx="11" formatCode="0.0">
                  <c:v>3.6363636363636367</c:v>
                </c:pt>
                <c:pt idx="12" formatCode="0.0">
                  <c:v>3.0769230769230771</c:v>
                </c:pt>
                <c:pt idx="13" formatCode="0.0">
                  <c:v>2.8571428571428572</c:v>
                </c:pt>
                <c:pt idx="14" formatCode="0.0">
                  <c:v>1.8181818181818181</c:v>
                </c:pt>
                <c:pt idx="15" formatCode="0.0">
                  <c:v>1.6216216216216215</c:v>
                </c:pt>
                <c:pt idx="16">
                  <c:v>1.4</c:v>
                </c:pt>
                <c:pt idx="17">
                  <c:v>1</c:v>
                </c:pt>
                <c:pt idx="18">
                  <c:v>0.5</c:v>
                </c:pt>
              </c:numCache>
            </c:numRef>
          </c:yVal>
          <c:smooth val="0"/>
          <c:extLst>
            <c:ext xmlns:c16="http://schemas.microsoft.com/office/drawing/2014/chart" uri="{C3380CC4-5D6E-409C-BE32-E72D297353CC}">
              <c16:uniqueId val="{00000001-95B3-40F5-A70D-15AB55181CA7}"/>
            </c:ext>
          </c:extLst>
        </c:ser>
        <c:ser>
          <c:idx val="1"/>
          <c:order val="1"/>
          <c:tx>
            <c:v>Valeurs calculées</c:v>
          </c:tx>
          <c:spPr>
            <a:ln w="25400">
              <a:solidFill>
                <a:srgbClr val="FF0000"/>
              </a:solidFill>
            </a:ln>
          </c:spPr>
          <c:marker>
            <c:symbol val="none"/>
          </c:marker>
          <c:trendline>
            <c:trendlineType val="log"/>
            <c:dispRSqr val="0"/>
            <c:dispEq val="1"/>
            <c:trendlineLbl>
              <c:layout>
                <c:manualLayout>
                  <c:x val="-5.3663579408895726E-2"/>
                  <c:y val="-0.14166963461992321"/>
                </c:manualLayout>
              </c:layout>
              <c:tx>
                <c:rich>
                  <a:bodyPr/>
                  <a:lstStyle/>
                  <a:p>
                    <a:pPr>
                      <a:defRPr lang="fr-FR"/>
                    </a:pPr>
                    <a:r>
                      <a:rPr lang="fr-FR" sz="1200" b="1" baseline="0">
                        <a:solidFill>
                          <a:srgbClr val="FF0000"/>
                        </a:solidFill>
                      </a:rPr>
                      <a:t xml:space="preserve">y = -5ln(x) + 5</a:t>
                    </a:r>
                    <a:endParaRPr lang="fr-FR" sz="1200" b="1">
                      <a:solidFill>
                        <a:srgbClr val="FF0000"/>
                      </a:solidFill>
                    </a:endParaRPr>
                  </a:p>
                </c:rich>
              </c:tx>
              <c:numFmt formatCode="General" sourceLinked="0"/>
            </c:trendlineLbl>
          </c:trendline>
          <c:xVal>
            <c:numRef>
              <c:f>'Modèle principal'!$CB$89:$CB$107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'Modèle principal'!$CE$89:$CE$107</c:f>
              <c:numCache>
                <c:formatCode>0.0</c:formatCode>
                <c:ptCount val="19"/>
                <c:pt idx="0">
                  <c:v>39.538776394910684</c:v>
                </c:pt>
                <c:pt idx="1">
                  <c:v>23.444397270569681</c:v>
                </c:pt>
                <c:pt idx="2">
                  <c:v>18.862943611198908</c:v>
                </c:pt>
                <c:pt idx="3">
                  <c:v>16.512925464970227</c:v>
                </c:pt>
                <c:pt idx="4">
                  <c:v>15.397207708399179</c:v>
                </c:pt>
                <c:pt idx="5">
                  <c:v>11.931471805599454</c:v>
                </c:pt>
                <c:pt idx="6">
                  <c:v>9.9041462650586318</c:v>
                </c:pt>
                <c:pt idx="7">
                  <c:v>8.465735902799727</c:v>
                </c:pt>
                <c:pt idx="8">
                  <c:v>7.3500181462286776</c:v>
                </c:pt>
                <c:pt idx="9">
                  <c:v>6.4384103622589048</c:v>
                </c:pt>
                <c:pt idx="10">
                  <c:v>5.6676569631226128</c:v>
                </c:pt>
                <c:pt idx="11">
                  <c:v>5</c:v>
                </c:pt>
                <c:pt idx="12">
                  <c:v>4.4110848217180827</c:v>
                </c:pt>
                <c:pt idx="13">
                  <c:v>3.8842822434289515</c:v>
                </c:pt>
                <c:pt idx="14">
                  <c:v>3.4077313444073272</c:v>
                </c:pt>
                <c:pt idx="15">
                  <c:v>2.9726744594591779</c:v>
                </c:pt>
                <c:pt idx="16">
                  <c:v>1.5342640972002735</c:v>
                </c:pt>
                <c:pt idx="17">
                  <c:v>0.41854634062922447</c:v>
                </c:pt>
                <c:pt idx="18">
                  <c:v>-0.49306144334054913</c:v>
                </c:pt>
              </c:numCache>
            </c:numRef>
          </c:yVal>
          <c:smooth val="0"/>
          <c:extLst>
            <c:ext xmlns:c16="http://schemas.microsoft.com/office/drawing/2014/chart" uri="{C3380CC4-5D6E-409C-BE32-E72D297353CC}">
              <c16:uniqueId val="{00000003-95B3-40F5-A70D-15AB55181CA7}"/>
            </c:ext>
          </c:extLst>
        </c:ser>
        <c:ser>
          <c:idx val="2"/>
          <c:order val="2"/>
          <c:tx>
            <c:v>Estimations approximatives</c:v>
          </c:tx>
          <c:spPr>
            <a:ln w="28575">
              <a:noFill/>
            </a:ln>
          </c:spPr>
          <c:marker>
            <c:symbol val="triangle"/>
            <c:size val="7"/>
            <c:spPr>
              <a:solidFill>
                <a:srgbClr val="FF0000"/>
              </a:solidFill>
            </c:spPr>
          </c:marker>
          <c:xVal>
            <c:numRef>
              <c:f>'Modèle principal'!$CB$89:$CB$107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'Modèle principal'!$BZ$89:$BZ$107</c:f>
              <c:numCache>
                <c:formatCode>General</c:formatCode>
                <c:ptCount val="19"/>
                <c:pt idx="0">
                  <c:v>40</c:v>
                </c:pt>
                <c:pt idx="1">
                  <c:v>30</c:v>
                </c:pt>
                <c:pt idx="2">
                  <c:v>20</c:v>
                </c:pt>
                <c:pt idx="3">
                  <c:v>17</c:v>
                </c:pt>
                <c:pt idx="16" formatCode="0.00">
                  <c:v>1.4</c:v>
                </c:pt>
                <c:pt idx="17" formatCode="0.00">
                  <c:v>1</c:v>
                </c:pt>
                <c:pt idx="18" formatCode="0.00">
                  <c:v>0.5</c:v>
                </c:pt>
              </c:numCache>
            </c:numRef>
          </c:yVal>
          <c:smooth val="0"/>
          <c:extLst>
            <c:ext xmlns:c16="http://schemas.microsoft.com/office/drawing/2014/chart" uri="{C3380CC4-5D6E-409C-BE32-E72D297353CC}">
              <c16:uniqueId val="{00000004-95B3-40F5-A70D-15AB55181CA7}"/>
            </c:ext>
          </c:extLst>
        </c:ser>
        <c:dLbls>
          <c:showLegendKey val="0"/>
          <c:showVal val="0"/>
          <c:showCatName val="0"/>
          <c:showSerName val="0"/>
          <c:showPercent val="0"/>
          <c:showBubbleSize val="0"/>
        </c:dLbls>
        <c:axId val="362009344"/>
        <c:axId val="362011648"/>
      </c:scatterChart>
      <c:valAx>
        <c:axId val="362009344"/>
        <c:scaling>
          <c:orientation val="minMax"/>
        </c:scaling>
        <c:delete val="0"/>
        <c:axPos val="b"/>
        <c:title>
          <c:tx>
            <c:rich>
              <a:bodyPr/>
              <a:lstStyle/>
              <a:p>
                <a:pPr>
                  <a:defRPr lang="fr-FR"/>
                </a:pPr>
                <a:r>
                  <a:rPr lang="fr-FR"/>
                  <a:t xml:space="preserve">Rapport couvain / abeilles</a:t>
                </a:r>
              </a:p>
            </c:rich>
          </c:tx>
          <c:overlay val="0"/>
        </c:title>
        <c:numFmt formatCode="0.0000" sourceLinked="1"/>
        <c:majorTickMark val="out"/>
        <c:minorTickMark val="none"/>
        <c:tickLblPos val="nextTo"/>
        <c:crossAx val="362011648"/>
        <c:crosses val="autoZero"/>
        <c:crossBetween val="midCat"/>
      </c:valAx>
      <c:valAx>
        <c:axId val="362011648"/>
        <c:scaling>
          <c:orientation val="minMax"/>
        </c:scaling>
        <c:delete val="0"/>
        <c:axPos val="l"/>
        <c:majorGridlines/>
        <c:title>
          <c:tx>
            <c:rich>
              <a:bodyPr rot="-5400000" vert="horz"/>
              <a:lstStyle/>
              <a:p>
                <a:pPr>
                  <a:defRPr lang="fr-FR"/>
                </a:pPr>
                <a:r>
                  <a:rPr lang="fr-FR"/>
                  <a:t xml:space="preserve">Durée phorétique moyenne, en jours</a:t>
                </a:r>
              </a:p>
            </c:rich>
          </c:tx>
          <c:overlay val="0"/>
        </c:title>
        <c:numFmt formatCode="General" sourceLinked="1"/>
        <c:majorTickMark val="out"/>
        <c:minorTickMark val="none"/>
        <c:tickLblPos val="nextTo"/>
        <c:crossAx val="362009344"/>
        <c:crosses val="autoZero"/>
        <c:crossBetween val="midCat"/>
      </c:valAx>
    </c:plotArea>
    <c:legend>
      <c:legendPos val="r"/>
      <c:overlay val="0"/>
    </c:legend>
    <c:plotVisOnly val="1"/>
    <c:dispBlanksAs val="span"/>
    <c:showDLblsOverMax val="0"/>
  </c:chart>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98728223853254E-2"/>
          <c:y val="3.2299938581372249E-2"/>
          <c:w val="0.82397205929615935"/>
          <c:h val="0.89014335685699442"/>
        </c:manualLayout>
      </c:layout>
      <c:areaChart>
        <c:grouping val="standard"/>
        <c:varyColors val="0"/>
        <c:ser>
          <c:idx val="1"/>
          <c:order val="0"/>
          <c:tx>
            <c:v>Population d’abeilles adultes</c:v>
          </c:tx>
          <c:spPr>
            <a:solidFill>
              <a:srgbClr val="FFE593"/>
            </a:solidFill>
            <a:ln>
              <a:solidFill>
                <a:srgbClr val="FFC000"/>
              </a:solidFill>
            </a:ln>
          </c:spP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libres'!$BQ$5:$BQ$29</c:f>
              <c:numCache>
                <c:formatCode>General</c:formatCode>
                <c:ptCount val="25"/>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9">
                  <c:v>24000</c:v>
                </c:pt>
                <c:pt idx="20">
                  <c:v>18000</c:v>
                </c:pt>
                <c:pt idx="21">
                  <c:v>17000</c:v>
                </c:pt>
                <c:pt idx="22">
                  <c:v>16500</c:v>
                </c:pt>
                <c:pt idx="23">
                  <c:v>16000</c:v>
                </c:pt>
                <c:pt idx="24">
                  <c:v>16000</c:v>
                </c:pt>
              </c:numCache>
            </c:numRef>
          </c:val>
          <c:extLst>
            <c:ext xmlns:c16="http://schemas.microsoft.com/office/drawing/2014/chart" uri="{C3380CC4-5D6E-409C-BE32-E72D297353CC}">
              <c16:uniqueId val="{00000000-CC30-4773-A33C-C879A62D0F3C}"/>
            </c:ext>
          </c:extLst>
        </c:ser>
        <c:ser>
          <c:idx val="2"/>
          <c:order val="2"/>
          <c:tx>
            <c:v>Nombre total de nymphes</c:v>
          </c:tx>
          <c:spPr>
            <a:solidFill>
              <a:srgbClr val="FFC000"/>
            </a:solidFill>
            <a:ln w="12700">
              <a:solidFill>
                <a:schemeClr val="accent6"/>
              </a:solidFill>
            </a:ln>
          </c:spP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libres'!$BU$5:$BU$29</c:f>
              <c:numCache>
                <c:formatCode>General</c:formatCode>
                <c:ptCount val="25"/>
                <c:pt idx="0">
                  <c:v>0.6</c:v>
                </c:pt>
                <c:pt idx="1">
                  <c:v>675</c:v>
                </c:pt>
                <c:pt idx="2">
                  <c:v>891</c:v>
                </c:pt>
                <c:pt idx="3">
                  <c:v>2025</c:v>
                </c:pt>
                <c:pt idx="4">
                  <c:v>2700</c:v>
                </c:pt>
                <c:pt idx="5">
                  <c:v>5400</c:v>
                </c:pt>
                <c:pt idx="6">
                  <c:v>8100</c:v>
                </c:pt>
                <c:pt idx="7">
                  <c:v>13500</c:v>
                </c:pt>
                <c:pt idx="8">
                  <c:v>16200</c:v>
                </c:pt>
                <c:pt idx="9">
                  <c:v>17550</c:v>
                </c:pt>
                <c:pt idx="10">
                  <c:v>18900</c:v>
                </c:pt>
                <c:pt idx="11">
                  <c:v>17550</c:v>
                </c:pt>
                <c:pt idx="12">
                  <c:v>16200</c:v>
                </c:pt>
                <c:pt idx="13">
                  <c:v>13500</c:v>
                </c:pt>
                <c:pt idx="14">
                  <c:v>12150</c:v>
                </c:pt>
                <c:pt idx="15">
                  <c:v>10800</c:v>
                </c:pt>
                <c:pt idx="16">
                  <c:v>9450</c:v>
                </c:pt>
                <c:pt idx="17">
                  <c:v>10800</c:v>
                </c:pt>
                <c:pt idx="18">
                  <c:v>5400</c:v>
                </c:pt>
                <c:pt idx="19">
                  <c:v>1350</c:v>
                </c:pt>
                <c:pt idx="20">
                  <c:v>675</c:v>
                </c:pt>
                <c:pt idx="21">
                  <c:v>337.5</c:v>
                </c:pt>
                <c:pt idx="22">
                  <c:v>270</c:v>
                </c:pt>
                <c:pt idx="23">
                  <c:v>0.6</c:v>
                </c:pt>
                <c:pt idx="24">
                  <c:v>337.5</c:v>
                </c:pt>
              </c:numCache>
            </c:numRef>
          </c:val>
          <c:extLst>
            <c:ext xmlns:c16="http://schemas.microsoft.com/office/drawing/2014/chart" uri="{C3380CC4-5D6E-409C-BE32-E72D297353CC}">
              <c16:uniqueId val="{00000001-CC30-4773-A33C-C879A62D0F3C}"/>
            </c:ext>
          </c:extLst>
        </c:ser>
        <c:ser>
          <c:idx val="6"/>
          <c:order val="3"/>
          <c:tx>
            <c:v>Nymphes parasitées</c:v>
          </c:tx>
          <c:spPr>
            <a:solidFill>
              <a:srgbClr val="FF0000">
                <a:alpha val="50000"/>
              </a:srgbClr>
            </a:solidFill>
            <a:ln w="12700">
              <a:solidFill>
                <a:srgbClr val="FF0000"/>
              </a:solidFill>
              <a:prstDash val="solid"/>
            </a:ln>
          </c:spP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libres'!$BV$5:$BV$29</c:f>
              <c:numCache>
                <c:formatCode>0</c:formatCode>
                <c:ptCount val="25"/>
                <c:pt idx="0">
                  <c:v>0</c:v>
                </c:pt>
                <c:pt idx="1">
                  <c:v>18.116710184682088</c:v>
                </c:pt>
                <c:pt idx="2">
                  <c:v>23.526214902452605</c:v>
                </c:pt>
                <c:pt idx="3">
                  <c:v>35.114439917221247</c:v>
                </c:pt>
                <c:pt idx="4">
                  <c:v>47.615472845341166</c:v>
                </c:pt>
                <c:pt idx="5">
                  <c:v>77.854701083788072</c:v>
                </c:pt>
                <c:pt idx="6">
                  <c:v>114.96004869512136</c:v>
                </c:pt>
                <c:pt idx="7">
                  <c:v>178.06188431949388</c:v>
                </c:pt>
                <c:pt idx="8">
                  <c:v>299.12173151064604</c:v>
                </c:pt>
                <c:pt idx="9">
                  <c:v>467.7629904949398</c:v>
                </c:pt>
                <c:pt idx="10">
                  <c:v>736.03591834442454</c:v>
                </c:pt>
                <c:pt idx="11">
                  <c:v>1058.8441440734193</c:v>
                </c:pt>
                <c:pt idx="12">
                  <c:v>1471.4569830031905</c:v>
                </c:pt>
                <c:pt idx="13">
                  <c:v>1944.9885248950704</c:v>
                </c:pt>
                <c:pt idx="14">
                  <c:v>2539.6410678216935</c:v>
                </c:pt>
                <c:pt idx="15">
                  <c:v>3293.3953068925266</c:v>
                </c:pt>
                <c:pt idx="16">
                  <c:v>4317.2913378776557</c:v>
                </c:pt>
                <c:pt idx="17">
                  <c:v>5693.3689263906208</c:v>
                </c:pt>
                <c:pt idx="18">
                  <c:v>5207.2364452506145</c:v>
                </c:pt>
                <c:pt idx="19">
                  <c:v>1342.0967226819655</c:v>
                </c:pt>
                <c:pt idx="20">
                  <c:v>674.99857709268372</c:v>
                </c:pt>
                <c:pt idx="21">
                  <c:v>337.49995766592514</c:v>
                </c:pt>
                <c:pt idx="22">
                  <c:v>269.99998325865056</c:v>
                </c:pt>
                <c:pt idx="23">
                  <c:v>0</c:v>
                </c:pt>
                <c:pt idx="24">
                  <c:v>337.49282140650087</c:v>
                </c:pt>
              </c:numCache>
            </c:numRef>
          </c:val>
          <c:extLst>
            <c:ext xmlns:c16="http://schemas.microsoft.com/office/drawing/2014/chart" uri="{C3380CC4-5D6E-409C-BE32-E72D297353CC}">
              <c16:uniqueId val="{00000002-CC30-4773-A33C-C879A62D0F3C}"/>
            </c:ext>
          </c:extLst>
        </c:ser>
        <c:dLbls>
          <c:showLegendKey val="0"/>
          <c:showVal val="0"/>
          <c:showCatName val="0"/>
          <c:showSerName val="0"/>
          <c:showPercent val="0"/>
          <c:showBubbleSize val="0"/>
        </c:dLbls>
        <c:axId val="351181056"/>
        <c:axId val="351191040"/>
      </c:areaChart>
      <c:areaChart>
        <c:grouping val="standard"/>
        <c:varyColors val="0"/>
        <c:ser>
          <c:idx val="9"/>
          <c:order val="9"/>
          <c:tx>
            <c:v>Effondrement</c:v>
          </c:tx>
          <c:spPr>
            <a:solidFill>
              <a:srgbClr val="FF0000"/>
            </a:solidFill>
          </c:spP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libres'!$EA$5:$EA$29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100</c:v>
                </c:pt>
                <c:pt idx="20">
                  <c:v>100</c:v>
                </c:pt>
                <c:pt idx="21">
                  <c:v>100</c:v>
                </c:pt>
                <c:pt idx="22">
                  <c:v>100</c:v>
                </c:pt>
                <c:pt idx="23">
                  <c:v>200</c:v>
                </c:pt>
                <c:pt idx="24">
                  <c:v>200</c:v>
                </c:pt>
              </c:numCache>
            </c:numRef>
          </c:val>
          <c:extLst>
            <c:ext xmlns:c16="http://schemas.microsoft.com/office/drawing/2014/chart" uri="{C3380CC4-5D6E-409C-BE32-E72D297353CC}">
              <c16:uniqueId val="{00000003-CC30-4773-A33C-C879A62D0F3C}"/>
            </c:ext>
          </c:extLst>
        </c:ser>
        <c:ser>
          <c:idx val="10"/>
          <c:order val="10"/>
          <c:tx>
            <c:v>Effondrement hivernal</c:v>
          </c:tx>
          <c:spPr>
            <a:solidFill>
              <a:srgbClr val="FF0000"/>
            </a:solidFill>
          </c:spP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libres'!$EA$5:$EA$29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100</c:v>
                </c:pt>
                <c:pt idx="20">
                  <c:v>100</c:v>
                </c:pt>
                <c:pt idx="21">
                  <c:v>100</c:v>
                </c:pt>
                <c:pt idx="22">
                  <c:v>100</c:v>
                </c:pt>
                <c:pt idx="23">
                  <c:v>200</c:v>
                </c:pt>
                <c:pt idx="24">
                  <c:v>200</c:v>
                </c:pt>
              </c:numCache>
            </c:numRef>
          </c:val>
          <c:extLst>
            <c:ext xmlns:c16="http://schemas.microsoft.com/office/drawing/2014/chart" uri="{C3380CC4-5D6E-409C-BE32-E72D297353CC}">
              <c16:uniqueId val="{00000004-CC30-4773-A33C-C879A62D0F3C}"/>
            </c:ext>
          </c:extLst>
        </c:ser>
        <c:dLbls>
          <c:showLegendKey val="0"/>
          <c:showVal val="0"/>
          <c:showCatName val="0"/>
          <c:showSerName val="0"/>
          <c:showPercent val="0"/>
          <c:showBubbleSize val="0"/>
        </c:dLbls>
        <c:axId val="361955328"/>
        <c:axId val="351192960"/>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7.6655196573145165E-2"/>
                  <c:y val="2.56703214158884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C30-4773-A33C-C879A62D0F3C}"/>
                </c:ext>
              </c:extLst>
            </c:dLbl>
            <c:dLbl>
              <c:idx val="1"/>
              <c:delete val="1"/>
              <c:extLst>
                <c:ext xmlns:c15="http://schemas.microsoft.com/office/drawing/2012/chart" uri="{CE6537A1-D6FC-4f65-9D91-7224C49458BB}"/>
                <c:ext xmlns:c16="http://schemas.microsoft.com/office/drawing/2014/chart" uri="{C3380CC4-5D6E-409C-BE32-E72D297353CC}">
                  <c16:uniqueId val="{00000006-CC30-4773-A33C-C879A62D0F3C}"/>
                </c:ext>
              </c:extLst>
            </c:dLbl>
            <c:dLbl>
              <c:idx val="2"/>
              <c:delete val="1"/>
              <c:extLst>
                <c:ext xmlns:c15="http://schemas.microsoft.com/office/drawing/2012/chart" uri="{CE6537A1-D6FC-4f65-9D91-7224C49458BB}"/>
                <c:ext xmlns:c16="http://schemas.microsoft.com/office/drawing/2014/chart" uri="{C3380CC4-5D6E-409C-BE32-E72D297353CC}">
                  <c16:uniqueId val="{00000007-CC30-4773-A33C-C879A62D0F3C}"/>
                </c:ext>
              </c:extLst>
            </c:dLbl>
            <c:dLbl>
              <c:idx val="3"/>
              <c:delete val="1"/>
              <c:extLst>
                <c:ext xmlns:c15="http://schemas.microsoft.com/office/drawing/2012/chart" uri="{CE6537A1-D6FC-4f65-9D91-7224C49458BB}"/>
                <c:ext xmlns:c16="http://schemas.microsoft.com/office/drawing/2014/chart" uri="{C3380CC4-5D6E-409C-BE32-E72D297353CC}">
                  <c16:uniqueId val="{00000008-CC30-4773-A33C-C879A62D0F3C}"/>
                </c:ext>
              </c:extLst>
            </c:dLbl>
            <c:dLbl>
              <c:idx val="4"/>
              <c:delete val="1"/>
              <c:extLst>
                <c:ext xmlns:c15="http://schemas.microsoft.com/office/drawing/2012/chart" uri="{CE6537A1-D6FC-4f65-9D91-7224C49458BB}"/>
                <c:ext xmlns:c16="http://schemas.microsoft.com/office/drawing/2014/chart" uri="{C3380CC4-5D6E-409C-BE32-E72D297353CC}">
                  <c16:uniqueId val="{00000009-CC30-4773-A33C-C879A62D0F3C}"/>
                </c:ext>
              </c:extLst>
            </c:dLbl>
            <c:dLbl>
              <c:idx val="5"/>
              <c:delete val="1"/>
              <c:extLst>
                <c:ext xmlns:c15="http://schemas.microsoft.com/office/drawing/2012/chart" uri="{CE6537A1-D6FC-4f65-9D91-7224C49458BB}"/>
                <c:ext xmlns:c16="http://schemas.microsoft.com/office/drawing/2014/chart" uri="{C3380CC4-5D6E-409C-BE32-E72D297353CC}">
                  <c16:uniqueId val="{0000000A-CC30-4773-A33C-C879A62D0F3C}"/>
                </c:ext>
              </c:extLst>
            </c:dLbl>
            <c:dLbl>
              <c:idx val="6"/>
              <c:delete val="1"/>
              <c:extLst>
                <c:ext xmlns:c15="http://schemas.microsoft.com/office/drawing/2012/chart" uri="{CE6537A1-D6FC-4f65-9D91-7224C49458BB}"/>
                <c:ext xmlns:c16="http://schemas.microsoft.com/office/drawing/2014/chart" uri="{C3380CC4-5D6E-409C-BE32-E72D297353CC}">
                  <c16:uniqueId val="{0000000B-CC30-4773-A33C-C879A62D0F3C}"/>
                </c:ext>
              </c:extLst>
            </c:dLbl>
            <c:dLbl>
              <c:idx val="7"/>
              <c:delete val="1"/>
              <c:extLst>
                <c:ext xmlns:c15="http://schemas.microsoft.com/office/drawing/2012/chart" uri="{CE6537A1-D6FC-4f65-9D91-7224C49458BB}"/>
                <c:ext xmlns:c16="http://schemas.microsoft.com/office/drawing/2014/chart" uri="{C3380CC4-5D6E-409C-BE32-E72D297353CC}">
                  <c16:uniqueId val="{0000000C-CC30-4773-A33C-C879A62D0F3C}"/>
                </c:ext>
              </c:extLst>
            </c:dLbl>
            <c:dLbl>
              <c:idx val="8"/>
              <c:delete val="1"/>
              <c:extLst>
                <c:ext xmlns:c15="http://schemas.microsoft.com/office/drawing/2012/chart" uri="{CE6537A1-D6FC-4f65-9D91-7224C49458BB}"/>
                <c:ext xmlns:c16="http://schemas.microsoft.com/office/drawing/2014/chart" uri="{C3380CC4-5D6E-409C-BE32-E72D297353CC}">
                  <c16:uniqueId val="{0000000D-CC30-4773-A33C-C879A62D0F3C}"/>
                </c:ext>
              </c:extLst>
            </c:dLbl>
            <c:dLbl>
              <c:idx val="9"/>
              <c:delete val="1"/>
              <c:extLst>
                <c:ext xmlns:c15="http://schemas.microsoft.com/office/drawing/2012/chart" uri="{CE6537A1-D6FC-4f65-9D91-7224C49458BB}"/>
                <c:ext xmlns:c16="http://schemas.microsoft.com/office/drawing/2014/chart" uri="{C3380CC4-5D6E-409C-BE32-E72D297353CC}">
                  <c16:uniqueId val="{0000000E-CC30-4773-A33C-C879A62D0F3C}"/>
                </c:ext>
              </c:extLst>
            </c:dLbl>
            <c:dLbl>
              <c:idx val="10"/>
              <c:delete val="1"/>
              <c:extLst>
                <c:ext xmlns:c15="http://schemas.microsoft.com/office/drawing/2012/chart" uri="{CE6537A1-D6FC-4f65-9D91-7224C49458BB}"/>
                <c:ext xmlns:c16="http://schemas.microsoft.com/office/drawing/2014/chart" uri="{C3380CC4-5D6E-409C-BE32-E72D297353CC}">
                  <c16:uniqueId val="{0000000F-CC30-4773-A33C-C879A62D0F3C}"/>
                </c:ext>
              </c:extLst>
            </c:dLbl>
            <c:dLbl>
              <c:idx val="11"/>
              <c:delete val="1"/>
              <c:extLst>
                <c:ext xmlns:c15="http://schemas.microsoft.com/office/drawing/2012/chart" uri="{CE6537A1-D6FC-4f65-9D91-7224C49458BB}"/>
                <c:ext xmlns:c16="http://schemas.microsoft.com/office/drawing/2014/chart" uri="{C3380CC4-5D6E-409C-BE32-E72D297353CC}">
                  <c16:uniqueId val="{00000010-CC30-4773-A33C-C879A62D0F3C}"/>
                </c:ext>
              </c:extLst>
            </c:dLbl>
            <c:dLbl>
              <c:idx val="12"/>
              <c:delete val="1"/>
              <c:extLst>
                <c:ext xmlns:c15="http://schemas.microsoft.com/office/drawing/2012/chart" uri="{CE6537A1-D6FC-4f65-9D91-7224C49458BB}"/>
                <c:ext xmlns:c16="http://schemas.microsoft.com/office/drawing/2014/chart" uri="{C3380CC4-5D6E-409C-BE32-E72D297353CC}">
                  <c16:uniqueId val="{00000011-CC30-4773-A33C-C879A62D0F3C}"/>
                </c:ext>
              </c:extLst>
            </c:dLbl>
            <c:dLbl>
              <c:idx val="13"/>
              <c:delete val="1"/>
              <c:extLst>
                <c:ext xmlns:c15="http://schemas.microsoft.com/office/drawing/2012/chart" uri="{CE6537A1-D6FC-4f65-9D91-7224C49458BB}"/>
                <c:ext xmlns:c16="http://schemas.microsoft.com/office/drawing/2014/chart" uri="{C3380CC4-5D6E-409C-BE32-E72D297353CC}">
                  <c16:uniqueId val="{00000012-CC30-4773-A33C-C879A62D0F3C}"/>
                </c:ext>
              </c:extLst>
            </c:dLbl>
            <c:dLbl>
              <c:idx val="14"/>
              <c:delete val="1"/>
              <c:extLst>
                <c:ext xmlns:c15="http://schemas.microsoft.com/office/drawing/2012/chart" uri="{CE6537A1-D6FC-4f65-9D91-7224C49458BB}"/>
                <c:ext xmlns:c16="http://schemas.microsoft.com/office/drawing/2014/chart" uri="{C3380CC4-5D6E-409C-BE32-E72D297353CC}">
                  <c16:uniqueId val="{00000013-CC30-4773-A33C-C879A62D0F3C}"/>
                </c:ext>
              </c:extLst>
            </c:dLbl>
            <c:dLbl>
              <c:idx val="15"/>
              <c:delete val="1"/>
              <c:extLst>
                <c:ext xmlns:c15="http://schemas.microsoft.com/office/drawing/2012/chart" uri="{CE6537A1-D6FC-4f65-9D91-7224C49458BB}"/>
                <c:ext xmlns:c16="http://schemas.microsoft.com/office/drawing/2014/chart" uri="{C3380CC4-5D6E-409C-BE32-E72D297353CC}">
                  <c16:uniqueId val="{00000014-CC30-4773-A33C-C879A62D0F3C}"/>
                </c:ext>
              </c:extLst>
            </c:dLbl>
            <c:dLbl>
              <c:idx val="16"/>
              <c:delete val="1"/>
              <c:extLst>
                <c:ext xmlns:c15="http://schemas.microsoft.com/office/drawing/2012/chart" uri="{CE6537A1-D6FC-4f65-9D91-7224C49458BB}"/>
                <c:ext xmlns:c16="http://schemas.microsoft.com/office/drawing/2014/chart" uri="{C3380CC4-5D6E-409C-BE32-E72D297353CC}">
                  <c16:uniqueId val="{00000015-CC30-4773-A33C-C879A62D0F3C}"/>
                </c:ext>
              </c:extLst>
            </c:dLbl>
            <c:dLbl>
              <c:idx val="17"/>
              <c:delete val="1"/>
              <c:extLst>
                <c:ext xmlns:c15="http://schemas.microsoft.com/office/drawing/2012/chart" uri="{CE6537A1-D6FC-4f65-9D91-7224C49458BB}"/>
                <c:ext xmlns:c16="http://schemas.microsoft.com/office/drawing/2014/chart" uri="{C3380CC4-5D6E-409C-BE32-E72D297353CC}">
                  <c16:uniqueId val="{00000016-CC30-4773-A33C-C879A62D0F3C}"/>
                </c:ext>
              </c:extLst>
            </c:dLbl>
            <c:dLbl>
              <c:idx val="18"/>
              <c:delete val="1"/>
              <c:extLst>
                <c:ext xmlns:c15="http://schemas.microsoft.com/office/drawing/2012/chart" uri="{CE6537A1-D6FC-4f65-9D91-7224C49458BB}"/>
                <c:ext xmlns:c16="http://schemas.microsoft.com/office/drawing/2014/chart" uri="{C3380CC4-5D6E-409C-BE32-E72D297353CC}">
                  <c16:uniqueId val="{00000017-CC30-4773-A33C-C879A62D0F3C}"/>
                </c:ext>
              </c:extLst>
            </c:dLbl>
            <c:dLbl>
              <c:idx val="19"/>
              <c:delete val="1"/>
              <c:extLst>
                <c:ext xmlns:c15="http://schemas.microsoft.com/office/drawing/2012/chart" uri="{CE6537A1-D6FC-4f65-9D91-7224C49458BB}"/>
                <c:ext xmlns:c16="http://schemas.microsoft.com/office/drawing/2014/chart" uri="{C3380CC4-5D6E-409C-BE32-E72D297353CC}">
                  <c16:uniqueId val="{00000018-CC30-4773-A33C-C879A62D0F3C}"/>
                </c:ext>
              </c:extLst>
            </c:dLbl>
            <c:dLbl>
              <c:idx val="20"/>
              <c:delete val="1"/>
              <c:extLst>
                <c:ext xmlns:c15="http://schemas.microsoft.com/office/drawing/2012/chart" uri="{CE6537A1-D6FC-4f65-9D91-7224C49458BB}"/>
                <c:ext xmlns:c16="http://schemas.microsoft.com/office/drawing/2014/chart" uri="{C3380CC4-5D6E-409C-BE32-E72D297353CC}">
                  <c16:uniqueId val="{00000019-CC30-4773-A33C-C879A62D0F3C}"/>
                </c:ext>
              </c:extLst>
            </c:dLbl>
            <c:dLbl>
              <c:idx val="21"/>
              <c:delete val="1"/>
              <c:extLst>
                <c:ext xmlns:c15="http://schemas.microsoft.com/office/drawing/2012/chart" uri="{CE6537A1-D6FC-4f65-9D91-7224C49458BB}"/>
                <c:ext xmlns:c16="http://schemas.microsoft.com/office/drawing/2014/chart" uri="{C3380CC4-5D6E-409C-BE32-E72D297353CC}">
                  <c16:uniqueId val="{0000001A-CC30-4773-A33C-C879A62D0F3C}"/>
                </c:ext>
              </c:extLst>
            </c:dLbl>
            <c:dLbl>
              <c:idx val="22"/>
              <c:delete val="1"/>
              <c:extLst>
                <c:ext xmlns:c15="http://schemas.microsoft.com/office/drawing/2012/chart" uri="{CE6537A1-D6FC-4f65-9D91-7224C49458BB}"/>
                <c:ext xmlns:c16="http://schemas.microsoft.com/office/drawing/2014/chart" uri="{C3380CC4-5D6E-409C-BE32-E72D297353CC}">
                  <c16:uniqueId val="{0000001B-CC30-4773-A33C-C879A62D0F3C}"/>
                </c:ext>
              </c:extLst>
            </c:dLbl>
            <c:dLbl>
              <c:idx val="23"/>
              <c:delete val="1"/>
              <c:extLst>
                <c:ext xmlns:c15="http://schemas.microsoft.com/office/drawing/2012/chart" uri="{CE6537A1-D6FC-4f65-9D91-7224C49458BB}"/>
                <c:ext xmlns:c16="http://schemas.microsoft.com/office/drawing/2014/chart" uri="{C3380CC4-5D6E-409C-BE32-E72D297353CC}">
                  <c16:uniqueId val="{0000001C-CC30-4773-A33C-C879A62D0F3C}"/>
                </c:ext>
              </c:extLst>
            </c:dLbl>
            <c:dLbl>
              <c:idx val="24"/>
              <c:layout>
                <c:manualLayout>
                  <c:x val="2.8201546302984364E-2"/>
                  <c:y val="3.8053828995913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CC30-4773-A33C-C879A62D0F3C}"/>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libres'!$BA$5:$BA$29</c:f>
              <c:numCache>
                <c:formatCode>#,##0</c:formatCode>
                <c:ptCount val="25"/>
                <c:pt idx="0">
                  <c:v>50</c:v>
                </c:pt>
                <c:pt idx="1">
                  <c:v>46.330041655314922</c:v>
                </c:pt>
                <c:pt idx="2">
                  <c:v>57.392345981415637</c:v>
                </c:pt>
                <c:pt idx="3">
                  <c:v>71.179389056764322</c:v>
                </c:pt>
                <c:pt idx="4">
                  <c:v>90.77581147168641</c:v>
                </c:pt>
                <c:pt idx="5">
                  <c:v>120.49714911929527</c:v>
                </c:pt>
                <c:pt idx="6">
                  <c:v>171.79688114712022</c:v>
                </c:pt>
                <c:pt idx="7">
                  <c:v>271.90218951441358</c:v>
                </c:pt>
                <c:pt idx="8">
                  <c:v>478.36488362399018</c:v>
                </c:pt>
                <c:pt idx="9">
                  <c:v>805.28862518265703</c:v>
                </c:pt>
                <c:pt idx="10">
                  <c:v>1293.2566441869565</c:v>
                </c:pt>
                <c:pt idx="11">
                  <c:v>1997.0645717810373</c:v>
                </c:pt>
                <c:pt idx="12">
                  <c:v>2944.5766135365675</c:v>
                </c:pt>
                <c:pt idx="13">
                  <c:v>4233.900580316983</c:v>
                </c:pt>
                <c:pt idx="14">
                  <c:v>5887.6224022605211</c:v>
                </c:pt>
                <c:pt idx="15">
                  <c:v>8099.730684051613</c:v>
                </c:pt>
                <c:pt idx="16">
                  <c:v>10851.0175147683</c:v>
                </c:pt>
                <c:pt idx="17">
                  <c:v>14132.017195905548</c:v>
                </c:pt>
                <c:pt idx="18">
                  <c:v>17998.02516844311</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E-CC30-4773-A33C-C879A62D0F3C}"/>
            </c:ext>
          </c:extLst>
        </c:ser>
        <c:ser>
          <c:idx val="7"/>
          <c:order val="7"/>
          <c:tx>
            <c:v>Arrivées de varroas (immigration)</c:v>
          </c:tx>
          <c:spPr>
            <a:ln>
              <a:noFill/>
              <a:prstDash val="sysDot"/>
            </a:ln>
          </c:spPr>
          <c:marker>
            <c:symbol val="none"/>
          </c:marke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libres'!$DL$5:$DL$29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CC30-4773-A33C-C879A62D0F3C}"/>
            </c:ext>
          </c:extLst>
        </c:ser>
        <c:dLbls>
          <c:showLegendKey val="0"/>
          <c:showVal val="0"/>
          <c:showCatName val="0"/>
          <c:showSerName val="0"/>
          <c:showPercent val="0"/>
          <c:showBubbleSize val="0"/>
        </c:dLbls>
        <c:marker val="1"/>
        <c:smooth val="0"/>
        <c:axId val="351181056"/>
        <c:axId val="351191040"/>
      </c:lineChart>
      <c:lineChart>
        <c:grouping val="standard"/>
        <c:varyColors val="0"/>
        <c:ser>
          <c:idx val="0"/>
          <c:order val="4"/>
          <c:tx>
            <c:v>Comptage par lavage à l’alcool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libres'!$BD$5:$BD$29</c:f>
              <c:numCache>
                <c:formatCode>0</c:formatCode>
                <c:ptCount val="25"/>
                <c:pt idx="0">
                  <c:v>0.984375</c:v>
                </c:pt>
                <c:pt idx="1">
                  <c:v>0.55057608541591319</c:v>
                </c:pt>
                <c:pt idx="2">
                  <c:v>0.66051477221296495</c:v>
                </c:pt>
                <c:pt idx="3">
                  <c:v>0.80453098887401608</c:v>
                </c:pt>
                <c:pt idx="4">
                  <c:v>0.96154825861660442</c:v>
                </c:pt>
                <c:pt idx="5">
                  <c:v>1.1044886492158346</c:v>
                </c:pt>
                <c:pt idx="6">
                  <c:v>1.2121397735631125</c:v>
                </c:pt>
                <c:pt idx="7">
                  <c:v>1.1533129512436615</c:v>
                </c:pt>
                <c:pt idx="8">
                  <c:v>1.7046207857846811</c:v>
                </c:pt>
                <c:pt idx="9">
                  <c:v>2.5310369868292493</c:v>
                </c:pt>
                <c:pt idx="10">
                  <c:v>3.5487671959656204</c:v>
                </c:pt>
                <c:pt idx="11">
                  <c:v>5.2870810275524853</c:v>
                </c:pt>
                <c:pt idx="12">
                  <c:v>7.6576623899908993</c:v>
                </c:pt>
                <c:pt idx="13">
                  <c:v>11.426113985490217</c:v>
                </c:pt>
                <c:pt idx="14">
                  <c:v>16.408104634069364</c:v>
                </c:pt>
                <c:pt idx="15">
                  <c:v>25.575436111381133</c:v>
                </c:pt>
                <c:pt idx="16">
                  <c:v>39.519194348471245</c:v>
                </c:pt>
                <c:pt idx="17">
                  <c:v>55.127560314595961</c:v>
                </c:pt>
                <c:pt idx="18">
                  <c:v>0.315</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20-CC30-4773-A33C-C879A62D0F3C}"/>
            </c:ext>
          </c:extLst>
        </c:ser>
        <c:ser>
          <c:idx val="4"/>
          <c:order val="5"/>
          <c:tx>
            <c:v>Comptage moyen par lavage aux États-Unis</c:v>
          </c:tx>
          <c:spPr>
            <a:ln w="25400">
              <a:noFill/>
              <a:prstDash val="dash"/>
            </a:ln>
          </c:spPr>
          <c:marker>
            <c:symbol val="none"/>
          </c:marker>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libres'!$ES$5:$ES$28</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CC30-4773-A33C-C879A62D0F3C}"/>
            </c:ext>
          </c:extLst>
        </c:ser>
        <c:ser>
          <c:idx val="5"/>
          <c:order val="6"/>
          <c:tx>
            <c:v>Traitement et efficacité</c:v>
          </c:tx>
          <c:spPr>
            <a:ln>
              <a:noFill/>
            </a:ln>
          </c:spPr>
          <c:marker>
            <c:symbol val="triangle"/>
            <c:size val="16"/>
            <c:spPr>
              <a:solidFill>
                <a:schemeClr val="tx1"/>
              </a:solidFill>
              <a:ln>
                <a:noFill/>
              </a:ln>
            </c:spPr>
          </c:marker>
          <c:dLbls>
            <c:dLbl>
              <c:idx val="24"/>
              <c:delete val="1"/>
              <c:extLst>
                <c:ext xmlns:c15="http://schemas.microsoft.com/office/drawing/2012/chart" uri="{CE6537A1-D6FC-4f65-9D91-7224C49458BB}"/>
                <c:ext xmlns:c16="http://schemas.microsoft.com/office/drawing/2014/chart" uri="{C3380CC4-5D6E-409C-BE32-E72D297353CC}">
                  <c16:uniqueId val="{00000022-CC30-4773-A33C-C879A62D0F3C}"/>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libres'!$C$21:$Z$21</c:f>
              <c:numCache>
                <c:formatCode>0%</c:formatCode>
                <c:ptCount val="24"/>
              </c:numCache>
            </c:numRef>
          </c:val>
          <c:smooth val="0"/>
          <c:extLst>
            <c:ext xmlns:c16="http://schemas.microsoft.com/office/drawing/2014/chart" uri="{C3380CC4-5D6E-409C-BE32-E72D297353CC}">
              <c16:uniqueId val="{00000023-CC30-4773-A33C-C879A62D0F3C}"/>
            </c:ext>
          </c:extLst>
        </c:ser>
        <c:ser>
          <c:idx val="8"/>
          <c:order val="8"/>
          <c:tx>
            <c:v>Taux logarithmique quotidien r</c:v>
          </c:tx>
          <c:cat>
            <c:numRef>
              <c:f>'Paramètres libres'!$BO$5:$BO$29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'Paramètres libres'!$AW$25</c:f>
              <c:numCache>
                <c:formatCode>0.000</c:formatCode>
                <c:ptCount val="1"/>
                <c:pt idx="0">
                  <c:v>2.5821933470801573E-2</c:v>
                </c:pt>
              </c:numCache>
            </c:numRef>
          </c:val>
          <c:smooth val="0"/>
          <c:extLst>
            <c:ext xmlns:c16="http://schemas.microsoft.com/office/drawing/2014/chart" uri="{C3380CC4-5D6E-409C-BE32-E72D297353CC}">
              <c16:uniqueId val="{00000024-CC30-4773-A33C-C879A62D0F3C}"/>
            </c:ext>
          </c:extLst>
        </c:ser>
        <c:dLbls>
          <c:showLegendKey val="0"/>
          <c:showVal val="0"/>
          <c:showCatName val="0"/>
          <c:showSerName val="0"/>
          <c:showPercent val="0"/>
          <c:showBubbleSize val="0"/>
        </c:dLbls>
        <c:marker val="1"/>
        <c:smooth val="0"/>
        <c:axId val="361955328"/>
        <c:axId val="351192960"/>
      </c:lineChart>
      <c:dateAx>
        <c:axId val="351181056"/>
        <c:scaling>
          <c:orientation val="minMax"/>
        </c:scaling>
        <c:delete val="0"/>
        <c:axPos val="b"/>
        <c:numFmt formatCode="[$-40C]d\ mmm;@" sourceLinked="0"/>
        <c:majorTickMark val="out"/>
        <c:minorTickMark val="none"/>
        <c:tickLblPos val="nextTo"/>
        <c:txPr>
          <a:bodyPr/>
          <a:lstStyle/>
          <a:p>
            <a:pPr>
              <a:defRPr baseline="0" lang="fr-FR">
                <a:solidFill>
                  <a:schemeClr val="tx1"/>
                </a:solidFill>
              </a:defRPr>
            </a:pPr>
            <a:endParaRPr lang="fr-FR"/>
          </a:p>
        </c:txPr>
        <c:crossAx val="351191040"/>
        <c:crosses val="autoZero"/>
        <c:auto val="0"/>
        <c:lblOffset val="100"/>
        <c:baseTimeUnit val="days"/>
        <c:majorUnit val="1"/>
        <c:majorTimeUnit val="months"/>
        <c:minorUnit val="1"/>
        <c:minorTimeUnit val="months"/>
      </c:dateAx>
      <c:valAx>
        <c:axId val="351191040"/>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9.0387644388732671E-3"/>
              <c:y val="3.3385597277255114E-3"/>
            </c:manualLayout>
          </c:layout>
          <c:overlay val="0"/>
        </c:title>
        <c:numFmt formatCode="#,##0" sourceLinked="0"/>
        <c:majorTickMark val="out"/>
        <c:minorTickMark val="none"/>
        <c:tickLblPos val="nextTo"/>
        <c:txPr>
          <a:bodyPr/>
          <a:lstStyle/>
          <a:p>
            <a:pPr>
              <a:defRPr sz="900" lang="fr-FR"/>
            </a:pPr>
            <a:endParaRPr lang="fr-FR"/>
          </a:p>
        </c:txPr>
        <c:crossAx val="351181056"/>
        <c:crossesAt val="40544"/>
        <c:crossBetween val="midCat"/>
      </c:valAx>
      <c:valAx>
        <c:axId val="351192960"/>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879689702863301"/>
              <c:y val="6.0772618249827833E-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361955328"/>
        <c:crosses val="max"/>
        <c:crossBetween val="between"/>
      </c:valAx>
      <c:dateAx>
        <c:axId val="361955328"/>
        <c:scaling>
          <c:orientation val="minMax"/>
        </c:scaling>
        <c:delete val="1"/>
        <c:axPos val="b"/>
        <c:numFmt formatCode="[$-40C]d\-mmm;@" sourceLinked="1"/>
        <c:majorTickMark val="out"/>
        <c:minorTickMark val="none"/>
        <c:tickLblPos val="none"/>
        <c:crossAx val="351192960"/>
        <c:crosses val="autoZero"/>
        <c:auto val="1"/>
        <c:lblOffset val="100"/>
        <c:baseTimeUnit val="days"/>
        <c:majorUnit val="1"/>
        <c:minorUnit val="1"/>
      </c:dateAx>
      <c:spPr>
        <a:noFill/>
        <a:ln w="25400">
          <a:noFill/>
        </a:ln>
      </c:spPr>
    </c:plotArea>
    <c:legend>
      <c:legendPos val="r"/>
      <c:legendEntry>
        <c:idx val="3"/>
        <c:delete val="1"/>
      </c:legendEntry>
      <c:legendEntry>
        <c:idx val="4"/>
        <c:delete val="1"/>
      </c:legendEntry>
      <c:legendEntry>
        <c:idx val="6"/>
        <c:delete val="1"/>
      </c:legendEntry>
      <c:legendEntry>
        <c:idx val="8"/>
        <c:delete val="1"/>
      </c:legendEntry>
      <c:legendEntry>
        <c:idx val="10"/>
        <c:delete val="1"/>
      </c:legendEntry>
      <c:layout>
        <c:manualLayout>
          <c:xMode val="edge"/>
          <c:yMode val="edge"/>
          <c:x val="8.6913294445544367E-2"/>
          <c:y val="3.4865534338914213E-2"/>
          <c:w val="0.18006488067134743"/>
          <c:h val="0.40231866866628846"/>
        </c:manualLayout>
      </c:layout>
      <c:overlay val="0"/>
      <c:spPr>
        <a:solidFill>
          <a:schemeClr val="bg1"/>
        </a:solidFill>
        <a:ln>
          <a:solidFill>
            <a:schemeClr val="tx1"/>
          </a:solidFill>
        </a:ln>
      </c:spPr>
    </c:legend>
    <c:plotVisOnly val="1"/>
    <c:dispBlanksAs val="span"/>
    <c:showDLblsOverMax val="0"/>
  </c:chart>
  <c:spPr>
    <a:solidFill>
      <a:schemeClr val="bg1"/>
    </a:solidFill>
  </c:spPr>
  <c:printSettings>
    <c:headerFooter/>
    <c:pageMargins b="0" l="0.70000000000000007" r="0.70000000000000007" t="0.75000000000000011" header="0.30000000000000004" footer="0.30000000000000004"/>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Données de Boot, étendues</c:v>
          </c:tx>
          <c:spPr>
            <a:ln w="28575">
              <a:noFill/>
              <a:prstDash val="sysDash"/>
            </a:ln>
          </c:spPr>
          <c:marker>
            <c:symbol val="circle"/>
            <c:size val="5"/>
          </c:marker>
          <c:trendline>
            <c:trendlineType val="log"/>
            <c:dispRSqr val="0"/>
            <c:dispEq val="1"/>
            <c:trendlineLbl>
              <c:layout>
                <c:manualLayout>
                  <c:x val="-0.1851113055312531"/>
                  <c:y val="-0.38620152045027067"/>
                </c:manualLayout>
              </c:layout>
              <c:numFmt formatCode="#,##0.0000" sourceLinked="0"/>
            </c:trendlineLbl>
          </c:trendline>
          <c:xVal>
            <c:numRef>
              <c:f>'Paramètres libres'!$CA$89:$CA$107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'Paramètres libres'!$CB$89:$CB$107</c:f>
              <c:numCache>
                <c:formatCode>General</c:formatCode>
                <c:ptCount val="19"/>
                <c:pt idx="0">
                  <c:v>40</c:v>
                </c:pt>
                <c:pt idx="1">
                  <c:v>30</c:v>
                </c:pt>
                <c:pt idx="2">
                  <c:v>20</c:v>
                </c:pt>
                <c:pt idx="3">
                  <c:v>17</c:v>
                </c:pt>
                <c:pt idx="4" formatCode="0.0">
                  <c:v>14.285714285714285</c:v>
                </c:pt>
                <c:pt idx="5" formatCode="0.0">
                  <c:v>12.5</c:v>
                </c:pt>
                <c:pt idx="6" formatCode="0.0">
                  <c:v>10.526315789473685</c:v>
                </c:pt>
                <c:pt idx="7" formatCode="0.0">
                  <c:v>9.0909090909090917</c:v>
                </c:pt>
                <c:pt idx="8" formatCode="0.0">
                  <c:v>7.6923076923076916</c:v>
                </c:pt>
                <c:pt idx="9" formatCode="0.0">
                  <c:v>6.666666666666667</c:v>
                </c:pt>
                <c:pt idx="10" formatCode="0.0">
                  <c:v>4.2105263157894735</c:v>
                </c:pt>
                <c:pt idx="11" formatCode="0.0">
                  <c:v>3.6363636363636367</c:v>
                </c:pt>
                <c:pt idx="12" formatCode="0.0">
                  <c:v>3.0769230769230771</c:v>
                </c:pt>
                <c:pt idx="13" formatCode="0.0">
                  <c:v>2.8571428571428572</c:v>
                </c:pt>
                <c:pt idx="14" formatCode="0.0">
                  <c:v>1.8181818181818181</c:v>
                </c:pt>
                <c:pt idx="15" formatCode="0.0">
                  <c:v>1.6216216216216215</c:v>
                </c:pt>
                <c:pt idx="16">
                  <c:v>1.4</c:v>
                </c:pt>
                <c:pt idx="17">
                  <c:v>1</c:v>
                </c:pt>
                <c:pt idx="18">
                  <c:v>0.5</c:v>
                </c:pt>
              </c:numCache>
            </c:numRef>
          </c:yVal>
          <c:smooth val="0"/>
          <c:extLst>
            <c:ext xmlns:c16="http://schemas.microsoft.com/office/drawing/2014/chart" uri="{C3380CC4-5D6E-409C-BE32-E72D297353CC}">
              <c16:uniqueId val="{00000001-8D4A-48E0-B3A4-A9A09232511D}"/>
            </c:ext>
          </c:extLst>
        </c:ser>
        <c:ser>
          <c:idx val="1"/>
          <c:order val="1"/>
          <c:tx>
            <c:v>Valeurs calculées</c:v>
          </c:tx>
          <c:spPr>
            <a:ln w="25400">
              <a:solidFill>
                <a:srgbClr val="FF0000"/>
              </a:solidFill>
            </a:ln>
          </c:spPr>
          <c:marker>
            <c:symbol val="none"/>
          </c:marker>
          <c:trendline>
            <c:trendlineType val="log"/>
            <c:dispRSqr val="0"/>
            <c:dispEq val="1"/>
            <c:trendlineLbl>
              <c:layout>
                <c:manualLayout>
                  <c:x val="-5.3663579408895726E-2"/>
                  <c:y val="-0.14166963461992321"/>
                </c:manualLayout>
              </c:layout>
              <c:tx>
                <c:rich>
                  <a:bodyPr/>
                  <a:lstStyle/>
                  <a:p>
                    <a:pPr>
                      <a:defRPr lang="fr-FR"/>
                    </a:pPr>
                    <a:r>
                      <a:rPr lang="fr-FR" sz="1200" b="1" baseline="0">
                        <a:solidFill>
                          <a:srgbClr val="FF0000"/>
                        </a:solidFill>
                      </a:rPr>
                      <a:t xml:space="preserve">y = -5ln(x) + 5</a:t>
                    </a:r>
                    <a:endParaRPr lang="fr-FR" sz="1200" b="1">
                      <a:solidFill>
                        <a:srgbClr val="FF0000"/>
                      </a:solidFill>
                    </a:endParaRPr>
                  </a:p>
                </c:rich>
              </c:tx>
              <c:numFmt formatCode="General" sourceLinked="0"/>
            </c:trendlineLbl>
          </c:trendline>
          <c:xVal>
            <c:numRef>
              <c:f>'Paramètres libres'!$CA$89:$CA$107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'Paramètres libres'!$CD$89:$CD$107</c:f>
              <c:numCache>
                <c:formatCode>0.0</c:formatCode>
                <c:ptCount val="19"/>
                <c:pt idx="0">
                  <c:v>39.538776394910684</c:v>
                </c:pt>
                <c:pt idx="1">
                  <c:v>23.444397270569681</c:v>
                </c:pt>
                <c:pt idx="2">
                  <c:v>18.862943611198908</c:v>
                </c:pt>
                <c:pt idx="3">
                  <c:v>16.512925464970227</c:v>
                </c:pt>
                <c:pt idx="4">
                  <c:v>15.397207708399179</c:v>
                </c:pt>
                <c:pt idx="5">
                  <c:v>11.931471805599454</c:v>
                </c:pt>
                <c:pt idx="6">
                  <c:v>9.9041462650586318</c:v>
                </c:pt>
                <c:pt idx="7">
                  <c:v>8.465735902799727</c:v>
                </c:pt>
                <c:pt idx="8">
                  <c:v>7.3500181462286776</c:v>
                </c:pt>
                <c:pt idx="9">
                  <c:v>6.4384103622589048</c:v>
                </c:pt>
                <c:pt idx="10">
                  <c:v>5.6676569631226128</c:v>
                </c:pt>
                <c:pt idx="11">
                  <c:v>5</c:v>
                </c:pt>
                <c:pt idx="12">
                  <c:v>4.4110848217180827</c:v>
                </c:pt>
                <c:pt idx="13">
                  <c:v>3.8842822434289515</c:v>
                </c:pt>
                <c:pt idx="14">
                  <c:v>3.4077313444073272</c:v>
                </c:pt>
                <c:pt idx="15">
                  <c:v>2.9726744594591779</c:v>
                </c:pt>
                <c:pt idx="16">
                  <c:v>1.5342640972002735</c:v>
                </c:pt>
                <c:pt idx="17">
                  <c:v>0.41854634062922447</c:v>
                </c:pt>
                <c:pt idx="18">
                  <c:v>-0.49306144334054913</c:v>
                </c:pt>
              </c:numCache>
            </c:numRef>
          </c:yVal>
          <c:smooth val="0"/>
          <c:extLst>
            <c:ext xmlns:c16="http://schemas.microsoft.com/office/drawing/2014/chart" uri="{C3380CC4-5D6E-409C-BE32-E72D297353CC}">
              <c16:uniqueId val="{00000003-8D4A-48E0-B3A4-A9A09232511D}"/>
            </c:ext>
          </c:extLst>
        </c:ser>
        <c:ser>
          <c:idx val="2"/>
          <c:order val="2"/>
          <c:tx>
            <c:v>Estimations approximatives</c:v>
          </c:tx>
          <c:spPr>
            <a:ln w="28575">
              <a:noFill/>
            </a:ln>
          </c:spPr>
          <c:marker>
            <c:symbol val="triangle"/>
            <c:size val="7"/>
            <c:spPr>
              <a:solidFill>
                <a:srgbClr val="FF0000"/>
              </a:solidFill>
            </c:spPr>
          </c:marker>
          <c:xVal>
            <c:numRef>
              <c:f>'Paramètres libres'!$CA$89:$CA$107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'Paramètres libres'!$BY$89:$BY$107</c:f>
              <c:numCache>
                <c:formatCode>General</c:formatCode>
                <c:ptCount val="19"/>
                <c:pt idx="0">
                  <c:v>40</c:v>
                </c:pt>
                <c:pt idx="1">
                  <c:v>30</c:v>
                </c:pt>
                <c:pt idx="2">
                  <c:v>20</c:v>
                </c:pt>
                <c:pt idx="3">
                  <c:v>17</c:v>
                </c:pt>
                <c:pt idx="16" formatCode="0.00">
                  <c:v>1.4</c:v>
                </c:pt>
                <c:pt idx="17" formatCode="0.00">
                  <c:v>1</c:v>
                </c:pt>
                <c:pt idx="18" formatCode="0.00">
                  <c:v>0.5</c:v>
                </c:pt>
              </c:numCache>
            </c:numRef>
          </c:yVal>
          <c:smooth val="0"/>
          <c:extLst>
            <c:ext xmlns:c16="http://schemas.microsoft.com/office/drawing/2014/chart" uri="{C3380CC4-5D6E-409C-BE32-E72D297353CC}">
              <c16:uniqueId val="{00000004-8D4A-48E0-B3A4-A9A09232511D}"/>
            </c:ext>
          </c:extLst>
        </c:ser>
        <c:dLbls>
          <c:showLegendKey val="0"/>
          <c:showVal val="0"/>
          <c:showCatName val="0"/>
          <c:showSerName val="0"/>
          <c:showPercent val="0"/>
          <c:showBubbleSize val="0"/>
        </c:dLbls>
        <c:axId val="362009344"/>
        <c:axId val="362011648"/>
      </c:scatterChart>
      <c:valAx>
        <c:axId val="362009344"/>
        <c:scaling>
          <c:orientation val="minMax"/>
        </c:scaling>
        <c:delete val="0"/>
        <c:axPos val="b"/>
        <c:title>
          <c:tx>
            <c:rich>
              <a:bodyPr/>
              <a:lstStyle/>
              <a:p>
                <a:pPr>
                  <a:defRPr lang="fr-FR"/>
                </a:pPr>
                <a:r>
                  <a:rPr lang="fr-FR"/>
                  <a:t xml:space="preserve">Rapport couvain / abeilles</a:t>
                </a:r>
              </a:p>
            </c:rich>
          </c:tx>
          <c:overlay val="0"/>
        </c:title>
        <c:numFmt formatCode="0.0000" sourceLinked="1"/>
        <c:majorTickMark val="out"/>
        <c:minorTickMark val="none"/>
        <c:tickLblPos val="nextTo"/>
        <c:crossAx val="362011648"/>
        <c:crosses val="autoZero"/>
        <c:crossBetween val="midCat"/>
      </c:valAx>
      <c:valAx>
        <c:axId val="362011648"/>
        <c:scaling>
          <c:orientation val="minMax"/>
        </c:scaling>
        <c:delete val="0"/>
        <c:axPos val="l"/>
        <c:majorGridlines/>
        <c:title>
          <c:tx>
            <c:rich>
              <a:bodyPr rot="-5400000" vert="horz"/>
              <a:lstStyle/>
              <a:p>
                <a:pPr>
                  <a:defRPr lang="fr-FR"/>
                </a:pPr>
                <a:r>
                  <a:rPr lang="fr-FR"/>
                  <a:t xml:space="preserve">Durée phorétique moyenne, en jours</a:t>
                </a:r>
              </a:p>
            </c:rich>
          </c:tx>
          <c:overlay val="0"/>
        </c:title>
        <c:numFmt formatCode="General" sourceLinked="1"/>
        <c:majorTickMark val="out"/>
        <c:minorTickMark val="none"/>
        <c:tickLblPos val="nextTo"/>
        <c:crossAx val="362009344"/>
        <c:crosses val="autoZero"/>
        <c:crossBetween val="midCat"/>
      </c:valAx>
    </c:plotArea>
    <c:legend>
      <c:legendPos val="r"/>
      <c:overlay val="0"/>
    </c:legend>
    <c:plotVisOnly val="1"/>
    <c:dispBlanksAs val="span"/>
    <c:showDLblsOverMax val="0"/>
  </c:chart>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98728223853254E-2"/>
          <c:y val="3.2299938581372249E-2"/>
          <c:w val="0.82397205929615935"/>
          <c:h val="0.89014335685699442"/>
        </c:manualLayout>
      </c:layout>
      <c:areaChart>
        <c:grouping val="standard"/>
        <c:varyColors val="0"/>
        <c:ser>
          <c:idx val="1"/>
          <c:order val="0"/>
          <c:tx>
            <c:v>Population d’abeilles adultes</c:v>
          </c:tx>
          <c:spPr>
            <a:solidFill>
              <a:srgbClr val="FFE593"/>
            </a:solidFill>
            <a:ln>
              <a:solidFill>
                <a:srgbClr val="FFC000"/>
              </a:solidFill>
            </a:ln>
          </c:spP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ajustée'!$BR$5:$BR$29</c:f>
              <c:numCache>
                <c:formatCode>General</c:formatCode>
                <c:ptCount val="25"/>
                <c:pt idx="0">
                  <c:v>16000</c:v>
                </c:pt>
                <c:pt idx="1">
                  <c:v>16000</c:v>
                </c:pt>
                <c:pt idx="2">
                  <c:v>16000</c:v>
                </c:pt>
                <c:pt idx="3">
                  <c:v>14000</c:v>
                </c:pt>
                <c:pt idx="4">
                  <c:v>14000</c:v>
                </c:pt>
                <c:pt idx="5">
                  <c:v>12000</c:v>
                </c:pt>
                <c:pt idx="6">
                  <c:v>12000</c:v>
                </c:pt>
                <c:pt idx="7">
                  <c:v>16000</c:v>
                </c:pt>
                <c:pt idx="8">
                  <c:v>22000</c:v>
                </c:pt>
                <c:pt idx="9">
                  <c:v>27000</c:v>
                </c:pt>
                <c:pt idx="10">
                  <c:v>30400</c:v>
                </c:pt>
                <c:pt idx="11">
                  <c:v>30800</c:v>
                </c:pt>
                <c:pt idx="12">
                  <c:v>28800</c:v>
                </c:pt>
                <c:pt idx="13">
                  <c:v>25000</c:v>
                </c:pt>
                <c:pt idx="14">
                  <c:v>30000</c:v>
                </c:pt>
                <c:pt idx="15">
                  <c:v>30800</c:v>
                </c:pt>
                <c:pt idx="16">
                  <c:v>30400</c:v>
                </c:pt>
                <c:pt idx="17">
                  <c:v>28800</c:v>
                </c:pt>
                <c:pt idx="18">
                  <c:v>30000</c:v>
                </c:pt>
                <c:pt idx="19">
                  <c:v>24000</c:v>
                </c:pt>
                <c:pt idx="20">
                  <c:v>18000</c:v>
                </c:pt>
                <c:pt idx="21">
                  <c:v>17000</c:v>
                </c:pt>
                <c:pt idx="22">
                  <c:v>16500</c:v>
                </c:pt>
                <c:pt idx="23">
                  <c:v>16000</c:v>
                </c:pt>
                <c:pt idx="24">
                  <c:v>16000</c:v>
                </c:pt>
              </c:numCache>
            </c:numRef>
          </c:val>
          <c:extLst>
            <c:ext xmlns:c16="http://schemas.microsoft.com/office/drawing/2014/chart" uri="{C3380CC4-5D6E-409C-BE32-E72D297353CC}">
              <c16:uniqueId val="{00000000-58A6-4613-8F3D-7DFD82DBF5F4}"/>
            </c:ext>
          </c:extLst>
        </c:ser>
        <c:ser>
          <c:idx val="2"/>
          <c:order val="2"/>
          <c:tx>
            <c:v>Nombre total de nymphes</c:v>
          </c:tx>
          <c:spPr>
            <a:solidFill>
              <a:srgbClr val="FFC000"/>
            </a:solidFill>
            <a:ln w="12700">
              <a:solidFill>
                <a:schemeClr val="accent6"/>
              </a:solidFill>
            </a:ln>
          </c:spP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ajustée'!$BV$5:$BV$29</c:f>
              <c:numCache>
                <c:formatCode>General</c:formatCode>
                <c:ptCount val="25"/>
                <c:pt idx="0">
                  <c:v>0.6</c:v>
                </c:pt>
                <c:pt idx="1">
                  <c:v>675</c:v>
                </c:pt>
                <c:pt idx="2">
                  <c:v>891</c:v>
                </c:pt>
                <c:pt idx="3">
                  <c:v>2025</c:v>
                </c:pt>
                <c:pt idx="4">
                  <c:v>2700</c:v>
                </c:pt>
                <c:pt idx="5">
                  <c:v>5400</c:v>
                </c:pt>
                <c:pt idx="6">
                  <c:v>8100</c:v>
                </c:pt>
                <c:pt idx="7">
                  <c:v>13500</c:v>
                </c:pt>
                <c:pt idx="8">
                  <c:v>16200</c:v>
                </c:pt>
                <c:pt idx="9">
                  <c:v>17550</c:v>
                </c:pt>
                <c:pt idx="10">
                  <c:v>18900</c:v>
                </c:pt>
                <c:pt idx="11">
                  <c:v>17550</c:v>
                </c:pt>
                <c:pt idx="12">
                  <c:v>16200</c:v>
                </c:pt>
                <c:pt idx="13">
                  <c:v>13500</c:v>
                </c:pt>
                <c:pt idx="14">
                  <c:v>12150</c:v>
                </c:pt>
                <c:pt idx="15">
                  <c:v>10800</c:v>
                </c:pt>
                <c:pt idx="16">
                  <c:v>9450</c:v>
                </c:pt>
                <c:pt idx="17">
                  <c:v>10800</c:v>
                </c:pt>
                <c:pt idx="18">
                  <c:v>5400</c:v>
                </c:pt>
                <c:pt idx="19">
                  <c:v>1350</c:v>
                </c:pt>
                <c:pt idx="20">
                  <c:v>675</c:v>
                </c:pt>
                <c:pt idx="21">
                  <c:v>337.5</c:v>
                </c:pt>
                <c:pt idx="22">
                  <c:v>270</c:v>
                </c:pt>
                <c:pt idx="23">
                  <c:v>0.6</c:v>
                </c:pt>
                <c:pt idx="24">
                  <c:v>337.5</c:v>
                </c:pt>
              </c:numCache>
            </c:numRef>
          </c:val>
          <c:extLst>
            <c:ext xmlns:c16="http://schemas.microsoft.com/office/drawing/2014/chart" uri="{C3380CC4-5D6E-409C-BE32-E72D297353CC}">
              <c16:uniqueId val="{00000001-58A6-4613-8F3D-7DFD82DBF5F4}"/>
            </c:ext>
          </c:extLst>
        </c:ser>
        <c:ser>
          <c:idx val="6"/>
          <c:order val="3"/>
          <c:tx>
            <c:v>Nymphes parasitées</c:v>
          </c:tx>
          <c:spPr>
            <a:solidFill>
              <a:srgbClr val="FF0000">
                <a:alpha val="50000"/>
              </a:srgbClr>
            </a:solidFill>
            <a:ln w="12700">
              <a:solidFill>
                <a:srgbClr val="FF0000"/>
              </a:solidFill>
              <a:prstDash val="solid"/>
            </a:ln>
          </c:spP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ajustée'!$BW$5:$BW$29</c:f>
              <c:numCache>
                <c:formatCode>0</c:formatCode>
                <c:ptCount val="25"/>
                <c:pt idx="0">
                  <c:v>0</c:v>
                </c:pt>
                <c:pt idx="1">
                  <c:v>35.747175646525996</c:v>
                </c:pt>
                <c:pt idx="2">
                  <c:v>40.716517047775838</c:v>
                </c:pt>
                <c:pt idx="3">
                  <c:v>60.9809465685221</c:v>
                </c:pt>
                <c:pt idx="4">
                  <c:v>82.681464489428109</c:v>
                </c:pt>
                <c:pt idx="5">
                  <c:v>135.35432352785415</c:v>
                </c:pt>
                <c:pt idx="6">
                  <c:v>199.88078715942584</c:v>
                </c:pt>
                <c:pt idx="7">
                  <c:v>309.7128168787234</c:v>
                </c:pt>
                <c:pt idx="8">
                  <c:v>470.87671267362936</c:v>
                </c:pt>
                <c:pt idx="9">
                  <c:v>710.54293473946166</c:v>
                </c:pt>
                <c:pt idx="10">
                  <c:v>1103.8233923591774</c:v>
                </c:pt>
                <c:pt idx="11">
                  <c:v>1598.6809554048029</c:v>
                </c:pt>
                <c:pt idx="12">
                  <c:v>2270.3669715137003</c:v>
                </c:pt>
                <c:pt idx="13">
                  <c:v>3083.9407982625958</c:v>
                </c:pt>
                <c:pt idx="14">
                  <c:v>3796.8697542465338</c:v>
                </c:pt>
                <c:pt idx="15">
                  <c:v>4756.2582335505895</c:v>
                </c:pt>
                <c:pt idx="16">
                  <c:v>5683.5254680730814</c:v>
                </c:pt>
                <c:pt idx="17">
                  <c:v>7016.942197099429</c:v>
                </c:pt>
                <c:pt idx="18">
                  <c:v>4896.9759242414439</c:v>
                </c:pt>
                <c:pt idx="19">
                  <c:v>1345.3834131795281</c:v>
                </c:pt>
                <c:pt idx="20">
                  <c:v>674.16334425298055</c:v>
                </c:pt>
                <c:pt idx="21">
                  <c:v>337.40138162061749</c:v>
                </c:pt>
                <c:pt idx="22">
                  <c:v>269.9450016178659</c:v>
                </c:pt>
                <c:pt idx="23">
                  <c:v>0</c:v>
                </c:pt>
                <c:pt idx="24">
                  <c:v>336.13349116180336</c:v>
                </c:pt>
              </c:numCache>
            </c:numRef>
          </c:val>
          <c:extLst>
            <c:ext xmlns:c16="http://schemas.microsoft.com/office/drawing/2014/chart" uri="{C3380CC4-5D6E-409C-BE32-E72D297353CC}">
              <c16:uniqueId val="{00000002-58A6-4613-8F3D-7DFD82DBF5F4}"/>
            </c:ext>
          </c:extLst>
        </c:ser>
        <c:dLbls>
          <c:showLegendKey val="0"/>
          <c:showVal val="0"/>
          <c:showCatName val="0"/>
          <c:showSerName val="0"/>
          <c:showPercent val="0"/>
          <c:showBubbleSize val="0"/>
        </c:dLbls>
        <c:axId val="414775168"/>
        <c:axId val="414776704"/>
      </c:areaChart>
      <c:areaChart>
        <c:grouping val="standard"/>
        <c:varyColors val="0"/>
        <c:ser>
          <c:idx val="9"/>
          <c:order val="9"/>
          <c:tx>
            <c:v>Effondrement</c:v>
          </c:tx>
          <c:spPr>
            <a:solidFill>
              <a:srgbClr val="FF0000"/>
            </a:solidFill>
          </c:spP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ajustée'!$ED$5:$ED$29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200</c:v>
                </c:pt>
                <c:pt idx="20">
                  <c:v>200</c:v>
                </c:pt>
                <c:pt idx="21">
                  <c:v>200</c:v>
                </c:pt>
                <c:pt idx="22">
                  <c:v>200</c:v>
                </c:pt>
                <c:pt idx="23">
                  <c:v>300</c:v>
                </c:pt>
                <c:pt idx="24">
                  <c:v>300</c:v>
                </c:pt>
              </c:numCache>
            </c:numRef>
          </c:val>
          <c:extLst>
            <c:ext xmlns:c16="http://schemas.microsoft.com/office/drawing/2014/chart" uri="{C3380CC4-5D6E-409C-BE32-E72D297353CC}">
              <c16:uniqueId val="{00000003-58A6-4613-8F3D-7DFD82DBF5F4}"/>
            </c:ext>
          </c:extLst>
        </c:ser>
        <c:ser>
          <c:idx val="10"/>
          <c:order val="10"/>
          <c:tx>
            <c:v>Effondrement hivernal</c:v>
          </c:tx>
          <c:spPr>
            <a:solidFill>
              <a:srgbClr val="FF0000"/>
            </a:solidFill>
          </c:spP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ajustée'!$ED$5:$ED$29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200</c:v>
                </c:pt>
                <c:pt idx="20">
                  <c:v>200</c:v>
                </c:pt>
                <c:pt idx="21">
                  <c:v>200</c:v>
                </c:pt>
                <c:pt idx="22">
                  <c:v>200</c:v>
                </c:pt>
                <c:pt idx="23">
                  <c:v>300</c:v>
                </c:pt>
                <c:pt idx="24">
                  <c:v>300</c:v>
                </c:pt>
              </c:numCache>
            </c:numRef>
          </c:val>
          <c:extLst>
            <c:ext xmlns:c16="http://schemas.microsoft.com/office/drawing/2014/chart" uri="{C3380CC4-5D6E-409C-BE32-E72D297353CC}">
              <c16:uniqueId val="{00000004-58A6-4613-8F3D-7DFD82DBF5F4}"/>
            </c:ext>
          </c:extLst>
        </c:ser>
        <c:dLbls>
          <c:showLegendKey val="0"/>
          <c:showVal val="0"/>
          <c:showCatName val="0"/>
          <c:showSerName val="0"/>
          <c:showPercent val="0"/>
          <c:showBubbleSize val="0"/>
        </c:dLbls>
        <c:axId val="415055232"/>
        <c:axId val="415053312"/>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7.6655196573145165E-2"/>
                  <c:y val="2.56703214158884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8A6-4613-8F3D-7DFD82DBF5F4}"/>
                </c:ext>
              </c:extLst>
            </c:dLbl>
            <c:dLbl>
              <c:idx val="1"/>
              <c:delete val="1"/>
              <c:extLst>
                <c:ext xmlns:c15="http://schemas.microsoft.com/office/drawing/2012/chart" uri="{CE6537A1-D6FC-4f65-9D91-7224C49458BB}"/>
                <c:ext xmlns:c16="http://schemas.microsoft.com/office/drawing/2014/chart" uri="{C3380CC4-5D6E-409C-BE32-E72D297353CC}">
                  <c16:uniqueId val="{00000006-58A6-4613-8F3D-7DFD82DBF5F4}"/>
                </c:ext>
              </c:extLst>
            </c:dLbl>
            <c:dLbl>
              <c:idx val="2"/>
              <c:delete val="1"/>
              <c:extLst>
                <c:ext xmlns:c15="http://schemas.microsoft.com/office/drawing/2012/chart" uri="{CE6537A1-D6FC-4f65-9D91-7224C49458BB}"/>
                <c:ext xmlns:c16="http://schemas.microsoft.com/office/drawing/2014/chart" uri="{C3380CC4-5D6E-409C-BE32-E72D297353CC}">
                  <c16:uniqueId val="{00000007-58A6-4613-8F3D-7DFD82DBF5F4}"/>
                </c:ext>
              </c:extLst>
            </c:dLbl>
            <c:dLbl>
              <c:idx val="3"/>
              <c:delete val="1"/>
              <c:extLst>
                <c:ext xmlns:c15="http://schemas.microsoft.com/office/drawing/2012/chart" uri="{CE6537A1-D6FC-4f65-9D91-7224C49458BB}"/>
                <c:ext xmlns:c16="http://schemas.microsoft.com/office/drawing/2014/chart" uri="{C3380CC4-5D6E-409C-BE32-E72D297353CC}">
                  <c16:uniqueId val="{00000008-58A6-4613-8F3D-7DFD82DBF5F4}"/>
                </c:ext>
              </c:extLst>
            </c:dLbl>
            <c:dLbl>
              <c:idx val="4"/>
              <c:delete val="1"/>
              <c:extLst>
                <c:ext xmlns:c15="http://schemas.microsoft.com/office/drawing/2012/chart" uri="{CE6537A1-D6FC-4f65-9D91-7224C49458BB}"/>
                <c:ext xmlns:c16="http://schemas.microsoft.com/office/drawing/2014/chart" uri="{C3380CC4-5D6E-409C-BE32-E72D297353CC}">
                  <c16:uniqueId val="{00000009-58A6-4613-8F3D-7DFD82DBF5F4}"/>
                </c:ext>
              </c:extLst>
            </c:dLbl>
            <c:dLbl>
              <c:idx val="5"/>
              <c:delete val="1"/>
              <c:extLst>
                <c:ext xmlns:c15="http://schemas.microsoft.com/office/drawing/2012/chart" uri="{CE6537A1-D6FC-4f65-9D91-7224C49458BB}"/>
                <c:ext xmlns:c16="http://schemas.microsoft.com/office/drawing/2014/chart" uri="{C3380CC4-5D6E-409C-BE32-E72D297353CC}">
                  <c16:uniqueId val="{0000000A-58A6-4613-8F3D-7DFD82DBF5F4}"/>
                </c:ext>
              </c:extLst>
            </c:dLbl>
            <c:dLbl>
              <c:idx val="6"/>
              <c:delete val="1"/>
              <c:extLst>
                <c:ext xmlns:c15="http://schemas.microsoft.com/office/drawing/2012/chart" uri="{CE6537A1-D6FC-4f65-9D91-7224C49458BB}"/>
                <c:ext xmlns:c16="http://schemas.microsoft.com/office/drawing/2014/chart" uri="{C3380CC4-5D6E-409C-BE32-E72D297353CC}">
                  <c16:uniqueId val="{0000000B-58A6-4613-8F3D-7DFD82DBF5F4}"/>
                </c:ext>
              </c:extLst>
            </c:dLbl>
            <c:dLbl>
              <c:idx val="7"/>
              <c:delete val="1"/>
              <c:extLst>
                <c:ext xmlns:c15="http://schemas.microsoft.com/office/drawing/2012/chart" uri="{CE6537A1-D6FC-4f65-9D91-7224C49458BB}"/>
                <c:ext xmlns:c16="http://schemas.microsoft.com/office/drawing/2014/chart" uri="{C3380CC4-5D6E-409C-BE32-E72D297353CC}">
                  <c16:uniqueId val="{0000000C-58A6-4613-8F3D-7DFD82DBF5F4}"/>
                </c:ext>
              </c:extLst>
            </c:dLbl>
            <c:dLbl>
              <c:idx val="8"/>
              <c:delete val="1"/>
              <c:extLst>
                <c:ext xmlns:c15="http://schemas.microsoft.com/office/drawing/2012/chart" uri="{CE6537A1-D6FC-4f65-9D91-7224C49458BB}"/>
                <c:ext xmlns:c16="http://schemas.microsoft.com/office/drawing/2014/chart" uri="{C3380CC4-5D6E-409C-BE32-E72D297353CC}">
                  <c16:uniqueId val="{0000000D-58A6-4613-8F3D-7DFD82DBF5F4}"/>
                </c:ext>
              </c:extLst>
            </c:dLbl>
            <c:dLbl>
              <c:idx val="9"/>
              <c:delete val="1"/>
              <c:extLst>
                <c:ext xmlns:c15="http://schemas.microsoft.com/office/drawing/2012/chart" uri="{CE6537A1-D6FC-4f65-9D91-7224C49458BB}"/>
                <c:ext xmlns:c16="http://schemas.microsoft.com/office/drawing/2014/chart" uri="{C3380CC4-5D6E-409C-BE32-E72D297353CC}">
                  <c16:uniqueId val="{0000000E-58A6-4613-8F3D-7DFD82DBF5F4}"/>
                </c:ext>
              </c:extLst>
            </c:dLbl>
            <c:dLbl>
              <c:idx val="10"/>
              <c:delete val="1"/>
              <c:extLst>
                <c:ext xmlns:c15="http://schemas.microsoft.com/office/drawing/2012/chart" uri="{CE6537A1-D6FC-4f65-9D91-7224C49458BB}"/>
                <c:ext xmlns:c16="http://schemas.microsoft.com/office/drawing/2014/chart" uri="{C3380CC4-5D6E-409C-BE32-E72D297353CC}">
                  <c16:uniqueId val="{0000000F-58A6-4613-8F3D-7DFD82DBF5F4}"/>
                </c:ext>
              </c:extLst>
            </c:dLbl>
            <c:dLbl>
              <c:idx val="11"/>
              <c:delete val="1"/>
              <c:extLst>
                <c:ext xmlns:c15="http://schemas.microsoft.com/office/drawing/2012/chart" uri="{CE6537A1-D6FC-4f65-9D91-7224C49458BB}"/>
                <c:ext xmlns:c16="http://schemas.microsoft.com/office/drawing/2014/chart" uri="{C3380CC4-5D6E-409C-BE32-E72D297353CC}">
                  <c16:uniqueId val="{00000010-58A6-4613-8F3D-7DFD82DBF5F4}"/>
                </c:ext>
              </c:extLst>
            </c:dLbl>
            <c:dLbl>
              <c:idx val="12"/>
              <c:delete val="1"/>
              <c:extLst>
                <c:ext xmlns:c15="http://schemas.microsoft.com/office/drawing/2012/chart" uri="{CE6537A1-D6FC-4f65-9D91-7224C49458BB}"/>
                <c:ext xmlns:c16="http://schemas.microsoft.com/office/drawing/2014/chart" uri="{C3380CC4-5D6E-409C-BE32-E72D297353CC}">
                  <c16:uniqueId val="{00000011-58A6-4613-8F3D-7DFD82DBF5F4}"/>
                </c:ext>
              </c:extLst>
            </c:dLbl>
            <c:dLbl>
              <c:idx val="13"/>
              <c:delete val="1"/>
              <c:extLst>
                <c:ext xmlns:c15="http://schemas.microsoft.com/office/drawing/2012/chart" uri="{CE6537A1-D6FC-4f65-9D91-7224C49458BB}"/>
                <c:ext xmlns:c16="http://schemas.microsoft.com/office/drawing/2014/chart" uri="{C3380CC4-5D6E-409C-BE32-E72D297353CC}">
                  <c16:uniqueId val="{00000012-58A6-4613-8F3D-7DFD82DBF5F4}"/>
                </c:ext>
              </c:extLst>
            </c:dLbl>
            <c:dLbl>
              <c:idx val="14"/>
              <c:delete val="1"/>
              <c:extLst>
                <c:ext xmlns:c15="http://schemas.microsoft.com/office/drawing/2012/chart" uri="{CE6537A1-D6FC-4f65-9D91-7224C49458BB}"/>
                <c:ext xmlns:c16="http://schemas.microsoft.com/office/drawing/2014/chart" uri="{C3380CC4-5D6E-409C-BE32-E72D297353CC}">
                  <c16:uniqueId val="{00000013-58A6-4613-8F3D-7DFD82DBF5F4}"/>
                </c:ext>
              </c:extLst>
            </c:dLbl>
            <c:dLbl>
              <c:idx val="15"/>
              <c:delete val="1"/>
              <c:extLst>
                <c:ext xmlns:c15="http://schemas.microsoft.com/office/drawing/2012/chart" uri="{CE6537A1-D6FC-4f65-9D91-7224C49458BB}"/>
                <c:ext xmlns:c16="http://schemas.microsoft.com/office/drawing/2014/chart" uri="{C3380CC4-5D6E-409C-BE32-E72D297353CC}">
                  <c16:uniqueId val="{00000014-58A6-4613-8F3D-7DFD82DBF5F4}"/>
                </c:ext>
              </c:extLst>
            </c:dLbl>
            <c:dLbl>
              <c:idx val="16"/>
              <c:delete val="1"/>
              <c:extLst>
                <c:ext xmlns:c15="http://schemas.microsoft.com/office/drawing/2012/chart" uri="{CE6537A1-D6FC-4f65-9D91-7224C49458BB}"/>
                <c:ext xmlns:c16="http://schemas.microsoft.com/office/drawing/2014/chart" uri="{C3380CC4-5D6E-409C-BE32-E72D297353CC}">
                  <c16:uniqueId val="{00000015-58A6-4613-8F3D-7DFD82DBF5F4}"/>
                </c:ext>
              </c:extLst>
            </c:dLbl>
            <c:dLbl>
              <c:idx val="17"/>
              <c:delete val="1"/>
              <c:extLst>
                <c:ext xmlns:c15="http://schemas.microsoft.com/office/drawing/2012/chart" uri="{CE6537A1-D6FC-4f65-9D91-7224C49458BB}"/>
                <c:ext xmlns:c16="http://schemas.microsoft.com/office/drawing/2014/chart" uri="{C3380CC4-5D6E-409C-BE32-E72D297353CC}">
                  <c16:uniqueId val="{00000016-58A6-4613-8F3D-7DFD82DBF5F4}"/>
                </c:ext>
              </c:extLst>
            </c:dLbl>
            <c:dLbl>
              <c:idx val="18"/>
              <c:delete val="1"/>
              <c:extLst>
                <c:ext xmlns:c15="http://schemas.microsoft.com/office/drawing/2012/chart" uri="{CE6537A1-D6FC-4f65-9D91-7224C49458BB}"/>
                <c:ext xmlns:c16="http://schemas.microsoft.com/office/drawing/2014/chart" uri="{C3380CC4-5D6E-409C-BE32-E72D297353CC}">
                  <c16:uniqueId val="{00000017-58A6-4613-8F3D-7DFD82DBF5F4}"/>
                </c:ext>
              </c:extLst>
            </c:dLbl>
            <c:dLbl>
              <c:idx val="19"/>
              <c:delete val="1"/>
              <c:extLst>
                <c:ext xmlns:c15="http://schemas.microsoft.com/office/drawing/2012/chart" uri="{CE6537A1-D6FC-4f65-9D91-7224C49458BB}"/>
                <c:ext xmlns:c16="http://schemas.microsoft.com/office/drawing/2014/chart" uri="{C3380CC4-5D6E-409C-BE32-E72D297353CC}">
                  <c16:uniqueId val="{00000018-58A6-4613-8F3D-7DFD82DBF5F4}"/>
                </c:ext>
              </c:extLst>
            </c:dLbl>
            <c:dLbl>
              <c:idx val="20"/>
              <c:delete val="1"/>
              <c:extLst>
                <c:ext xmlns:c15="http://schemas.microsoft.com/office/drawing/2012/chart" uri="{CE6537A1-D6FC-4f65-9D91-7224C49458BB}"/>
                <c:ext xmlns:c16="http://schemas.microsoft.com/office/drawing/2014/chart" uri="{C3380CC4-5D6E-409C-BE32-E72D297353CC}">
                  <c16:uniqueId val="{00000019-58A6-4613-8F3D-7DFD82DBF5F4}"/>
                </c:ext>
              </c:extLst>
            </c:dLbl>
            <c:dLbl>
              <c:idx val="21"/>
              <c:delete val="1"/>
              <c:extLst>
                <c:ext xmlns:c15="http://schemas.microsoft.com/office/drawing/2012/chart" uri="{CE6537A1-D6FC-4f65-9D91-7224C49458BB}"/>
                <c:ext xmlns:c16="http://schemas.microsoft.com/office/drawing/2014/chart" uri="{C3380CC4-5D6E-409C-BE32-E72D297353CC}">
                  <c16:uniqueId val="{0000001A-58A6-4613-8F3D-7DFD82DBF5F4}"/>
                </c:ext>
              </c:extLst>
            </c:dLbl>
            <c:dLbl>
              <c:idx val="22"/>
              <c:delete val="1"/>
              <c:extLst>
                <c:ext xmlns:c15="http://schemas.microsoft.com/office/drawing/2012/chart" uri="{CE6537A1-D6FC-4f65-9D91-7224C49458BB}"/>
                <c:ext xmlns:c16="http://schemas.microsoft.com/office/drawing/2014/chart" uri="{C3380CC4-5D6E-409C-BE32-E72D297353CC}">
                  <c16:uniqueId val="{0000001B-58A6-4613-8F3D-7DFD82DBF5F4}"/>
                </c:ext>
              </c:extLst>
            </c:dLbl>
            <c:dLbl>
              <c:idx val="23"/>
              <c:delete val="1"/>
              <c:extLst>
                <c:ext xmlns:c15="http://schemas.microsoft.com/office/drawing/2012/chart" uri="{CE6537A1-D6FC-4f65-9D91-7224C49458BB}"/>
                <c:ext xmlns:c16="http://schemas.microsoft.com/office/drawing/2014/chart" uri="{C3380CC4-5D6E-409C-BE32-E72D297353CC}">
                  <c16:uniqueId val="{0000001C-58A6-4613-8F3D-7DFD82DBF5F4}"/>
                </c:ext>
              </c:extLst>
            </c:dLbl>
            <c:dLbl>
              <c:idx val="24"/>
              <c:layout>
                <c:manualLayout>
                  <c:x val="2.8201546302984364E-2"/>
                  <c:y val="3.8053828995913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8A6-4613-8F3D-7DFD82DBF5F4}"/>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ajustée'!$BA$5:$BA$29</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1837.3892607905761</c:v>
                </c:pt>
                <c:pt idx="11">
                  <c:v>2778.0925031449278</c:v>
                </c:pt>
                <c:pt idx="12">
                  <c:v>4069.1291461584087</c:v>
                </c:pt>
                <c:pt idx="13">
                  <c:v>5892.8085194909918</c:v>
                </c:pt>
                <c:pt idx="14">
                  <c:v>8291.3299713700435</c:v>
                </c:pt>
                <c:pt idx="15">
                  <c:v>11852.475327680299</c:v>
                </c:pt>
                <c:pt idx="16">
                  <c:v>15500.592579816735</c:v>
                </c:pt>
                <c:pt idx="17">
                  <c:v>19267.894734875124</c:v>
                </c:pt>
                <c:pt idx="18">
                  <c:v>24587.109072117342</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E-58A6-4613-8F3D-7DFD82DBF5F4}"/>
            </c:ext>
          </c:extLst>
        </c:ser>
        <c:ser>
          <c:idx val="7"/>
          <c:order val="7"/>
          <c:tx>
            <c:v>Arrivées de varroas (immigration)</c:v>
          </c:tx>
          <c:spPr>
            <a:ln>
              <a:noFill/>
              <a:prstDash val="sysDot"/>
            </a:ln>
          </c:spPr>
          <c:marker>
            <c:symbol val="none"/>
          </c:marke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ajustée'!$DO$5:$DO$29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58A6-4613-8F3D-7DFD82DBF5F4}"/>
            </c:ext>
          </c:extLst>
        </c:ser>
        <c:dLbls>
          <c:showLegendKey val="0"/>
          <c:showVal val="0"/>
          <c:showCatName val="0"/>
          <c:showSerName val="0"/>
          <c:showPercent val="0"/>
          <c:showBubbleSize val="0"/>
        </c:dLbls>
        <c:marker val="1"/>
        <c:smooth val="0"/>
        <c:axId val="414775168"/>
        <c:axId val="414776704"/>
      </c:lineChart>
      <c:lineChart>
        <c:grouping val="standard"/>
        <c:varyColors val="0"/>
        <c:ser>
          <c:idx val="0"/>
          <c:order val="4"/>
          <c:tx>
            <c:v>Comptage par lavage à l’alcool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ajustée'!$BD$5:$BD$29</c:f>
              <c:numCache>
                <c:formatCode>0</c:formatCode>
                <c:ptCount val="25"/>
                <c:pt idx="0">
                  <c:v>1.96875</c:v>
                </c:pt>
                <c:pt idx="1">
                  <c:v>1.1011521708318264</c:v>
                </c:pt>
                <c:pt idx="2">
                  <c:v>1.1545713362615053</c:v>
                </c:pt>
                <c:pt idx="3">
                  <c:v>1.4063098328231911</c:v>
                </c:pt>
                <c:pt idx="4">
                  <c:v>1.6807740031481844</c:v>
                </c:pt>
                <c:pt idx="5">
                  <c:v>1.9306319695748368</c:v>
                </c:pt>
                <c:pt idx="6">
                  <c:v>2.1188047519507256</c:v>
                </c:pt>
                <c:pt idx="7">
                  <c:v>2.0159762222785864</c:v>
                </c:pt>
                <c:pt idx="8">
                  <c:v>2.6979622282267659</c:v>
                </c:pt>
                <c:pt idx="9">
                  <c:v>3.8602927643525331</c:v>
                </c:pt>
                <c:pt idx="10">
                  <c:v>5.4576465831841325</c:v>
                </c:pt>
                <c:pt idx="11">
                  <c:v>8.6565878488850068</c:v>
                </c:pt>
                <c:pt idx="12">
                  <c:v>13.675257938388343</c:v>
                </c:pt>
                <c:pt idx="13">
                  <c:v>23.413380939561712</c:v>
                </c:pt>
                <c:pt idx="14">
                  <c:v>31.973499554988472</c:v>
                </c:pt>
                <c:pt idx="15">
                  <c:v>47.326236345646898</c:v>
                </c:pt>
                <c:pt idx="16">
                  <c:v>65.613941238249353</c:v>
                </c:pt>
                <c:pt idx="17">
                  <c:v>80.04963678321414</c:v>
                </c:pt>
                <c:pt idx="18">
                  <c:v>123.58627675879535</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20-58A6-4613-8F3D-7DFD82DBF5F4}"/>
            </c:ext>
          </c:extLst>
        </c:ser>
        <c:ser>
          <c:idx val="4"/>
          <c:order val="5"/>
          <c:tx>
            <c:v>Comptage moyen par lavage aux États-Unis</c:v>
          </c:tx>
          <c:spPr>
            <a:ln w="25400">
              <a:noFill/>
              <a:prstDash val="dash"/>
            </a:ln>
          </c:spPr>
          <c:marker>
            <c:symbol val="none"/>
          </c:marker>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ajustée'!$EV$5:$EV$28</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58A6-4613-8F3D-7DFD82DBF5F4}"/>
            </c:ext>
          </c:extLst>
        </c:ser>
        <c:ser>
          <c:idx val="5"/>
          <c:order val="6"/>
          <c:tx>
            <c:v>Traitement et efficacité</c:v>
          </c:tx>
          <c:spPr>
            <a:ln>
              <a:noFill/>
            </a:ln>
          </c:spPr>
          <c:marker>
            <c:symbol val="triangle"/>
            <c:size val="16"/>
            <c:spPr>
              <a:solidFill>
                <a:schemeClr val="tx1"/>
              </a:solidFill>
              <a:ln>
                <a:noFill/>
              </a:ln>
            </c:spPr>
          </c:marker>
          <c:dLbls>
            <c:dLbl>
              <c:idx val="24"/>
              <c:delete val="1"/>
              <c:extLst>
                <c:ext xmlns:c15="http://schemas.microsoft.com/office/drawing/2012/chart" uri="{CE6537A1-D6FC-4f65-9D91-7224C49458BB}"/>
                <c:ext xmlns:c16="http://schemas.microsoft.com/office/drawing/2014/chart" uri="{C3380CC4-5D6E-409C-BE32-E72D297353CC}">
                  <c16:uniqueId val="{00000022-58A6-4613-8F3D-7DFD82DBF5F4}"/>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ajustée'!$C$21:$Z$21</c:f>
              <c:numCache>
                <c:formatCode>0%</c:formatCode>
                <c:ptCount val="24"/>
              </c:numCache>
            </c:numRef>
          </c:val>
          <c:smooth val="0"/>
          <c:extLst>
            <c:ext xmlns:c16="http://schemas.microsoft.com/office/drawing/2014/chart" uri="{C3380CC4-5D6E-409C-BE32-E72D297353CC}">
              <c16:uniqueId val="{00000023-58A6-4613-8F3D-7DFD82DBF5F4}"/>
            </c:ext>
          </c:extLst>
        </c:ser>
        <c:ser>
          <c:idx val="8"/>
          <c:order val="8"/>
          <c:tx>
            <c:v>Taux logarithmique quotidien r</c:v>
          </c:tx>
          <c:cat>
            <c:numRef>
              <c:f>'Densité ajustée'!$BO$5:$BO$29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'Densité ajustée'!$AW$25</c:f>
              <c:numCache>
                <c:formatCode>0.000</c:formatCode>
                <c:ptCount val="1"/>
                <c:pt idx="0">
                  <c:v>2.4197961912104403E-2</c:v>
                </c:pt>
              </c:numCache>
            </c:numRef>
          </c:val>
          <c:smooth val="0"/>
          <c:extLst>
            <c:ext xmlns:c16="http://schemas.microsoft.com/office/drawing/2014/chart" uri="{C3380CC4-5D6E-409C-BE32-E72D297353CC}">
              <c16:uniqueId val="{00000024-58A6-4613-8F3D-7DFD82DBF5F4}"/>
            </c:ext>
          </c:extLst>
        </c:ser>
        <c:dLbls>
          <c:showLegendKey val="0"/>
          <c:showVal val="0"/>
          <c:showCatName val="0"/>
          <c:showSerName val="0"/>
          <c:showPercent val="0"/>
          <c:showBubbleSize val="0"/>
        </c:dLbls>
        <c:marker val="1"/>
        <c:smooth val="0"/>
        <c:axId val="415055232"/>
        <c:axId val="415053312"/>
      </c:lineChart>
      <c:dateAx>
        <c:axId val="414775168"/>
        <c:scaling>
          <c:orientation val="minMax"/>
        </c:scaling>
        <c:delete val="0"/>
        <c:axPos val="b"/>
        <c:numFmt formatCode="[$-40C]d\ mmm;@" sourceLinked="0"/>
        <c:majorTickMark val="out"/>
        <c:minorTickMark val="none"/>
        <c:tickLblPos val="nextTo"/>
        <c:txPr>
          <a:bodyPr/>
          <a:lstStyle/>
          <a:p>
            <a:pPr>
              <a:defRPr baseline="0" lang="fr-FR">
                <a:solidFill>
                  <a:schemeClr val="tx1"/>
                </a:solidFill>
              </a:defRPr>
            </a:pPr>
            <a:endParaRPr lang="fr-FR"/>
          </a:p>
        </c:txPr>
        <c:crossAx val="414776704"/>
        <c:crosses val="autoZero"/>
        <c:auto val="0"/>
        <c:lblOffset val="100"/>
        <c:baseTimeUnit val="days"/>
        <c:majorUnit val="1"/>
        <c:majorTimeUnit val="months"/>
        <c:minorUnit val="1"/>
        <c:minorTimeUnit val="months"/>
      </c:dateAx>
      <c:valAx>
        <c:axId val="414776704"/>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9.0387644388732671E-3"/>
              <c:y val="3.3385597277255114E-3"/>
            </c:manualLayout>
          </c:layout>
          <c:overlay val="0"/>
        </c:title>
        <c:numFmt formatCode="#,##0" sourceLinked="0"/>
        <c:majorTickMark val="out"/>
        <c:minorTickMark val="none"/>
        <c:tickLblPos val="nextTo"/>
        <c:txPr>
          <a:bodyPr/>
          <a:lstStyle/>
          <a:p>
            <a:pPr>
              <a:defRPr sz="900" lang="fr-FR"/>
            </a:pPr>
            <a:endParaRPr lang="fr-FR"/>
          </a:p>
        </c:txPr>
        <c:crossAx val="414775168"/>
        <c:crossesAt val="40544"/>
        <c:crossBetween val="midCat"/>
      </c:valAx>
      <c:valAx>
        <c:axId val="415053312"/>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879689702863301"/>
              <c:y val="6.0772618249827833E-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415055232"/>
        <c:crosses val="max"/>
        <c:crossBetween val="between"/>
      </c:valAx>
      <c:dateAx>
        <c:axId val="415055232"/>
        <c:scaling>
          <c:orientation val="minMax"/>
        </c:scaling>
        <c:delete val="1"/>
        <c:axPos val="b"/>
        <c:numFmt formatCode="[$-40C]d\-mmm;@" sourceLinked="1"/>
        <c:majorTickMark val="out"/>
        <c:minorTickMark val="none"/>
        <c:tickLblPos val="none"/>
        <c:crossAx val="415053312"/>
        <c:crosses val="autoZero"/>
        <c:auto val="1"/>
        <c:lblOffset val="100"/>
        <c:baseTimeUnit val="days"/>
        <c:majorUnit val="1"/>
        <c:minorUnit val="1"/>
      </c:dateAx>
      <c:spPr>
        <a:noFill/>
        <a:ln w="25400">
          <a:noFill/>
        </a:ln>
      </c:spPr>
    </c:plotArea>
    <c:legend>
      <c:legendPos val="r"/>
      <c:legendEntry>
        <c:idx val="3"/>
        <c:delete val="1"/>
      </c:legendEntry>
      <c:legendEntry>
        <c:idx val="4"/>
        <c:delete val="1"/>
      </c:legendEntry>
      <c:legendEntry>
        <c:idx val="6"/>
        <c:delete val="1"/>
      </c:legendEntry>
      <c:legendEntry>
        <c:idx val="8"/>
        <c:delete val="1"/>
      </c:legendEntry>
      <c:legendEntry>
        <c:idx val="10"/>
        <c:delete val="1"/>
      </c:legendEntry>
      <c:layout>
        <c:manualLayout>
          <c:xMode val="edge"/>
          <c:yMode val="edge"/>
          <c:x val="8.6913294445544367E-2"/>
          <c:y val="3.4865534338914213E-2"/>
          <c:w val="0.18006488067134743"/>
          <c:h val="0.40231866866628846"/>
        </c:manualLayout>
      </c:layout>
      <c:overlay val="0"/>
      <c:spPr>
        <a:solidFill>
          <a:schemeClr val="bg1"/>
        </a:solidFill>
        <a:ln>
          <a:solidFill>
            <a:schemeClr val="tx1"/>
          </a:solidFill>
        </a:ln>
      </c:spPr>
    </c:legend>
    <c:plotVisOnly val="1"/>
    <c:dispBlanksAs val="span"/>
    <c:showDLblsOverMax val="0"/>
  </c:chart>
  <c:spPr>
    <a:solidFill>
      <a:schemeClr val="bg1"/>
    </a:solidFill>
  </c:spPr>
  <c:printSettings>
    <c:headerFooter/>
    <c:pageMargins b="0" l="0.70000000000000007" r="0.70000000000000007" t="0.75000000000000011" header="0.30000000000000004" footer="0.30000000000000004"/>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Données de Boot, étendues</c:v>
          </c:tx>
          <c:spPr>
            <a:ln w="28575">
              <a:noFill/>
              <a:prstDash val="sysDash"/>
            </a:ln>
          </c:spPr>
          <c:marker>
            <c:symbol val="circle"/>
            <c:size val="5"/>
          </c:marker>
          <c:trendline>
            <c:trendlineType val="log"/>
            <c:dispRSqr val="0"/>
            <c:dispEq val="1"/>
            <c:trendlineLbl>
              <c:layout>
                <c:manualLayout>
                  <c:x val="-0.1851113055312531"/>
                  <c:y val="-0.38620152045027067"/>
                </c:manualLayout>
              </c:layout>
              <c:numFmt formatCode="#,##0.0000" sourceLinked="0"/>
            </c:trendlineLbl>
          </c:trendline>
          <c:xVal>
            <c:numRef>
              <c:f>'Densité ajustée'!$CB$89:$CB$107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'Densité ajustée'!$CE$89:$CE$107</c:f>
              <c:numCache>
                <c:formatCode>General</c:formatCode>
                <c:ptCount val="19"/>
                <c:pt idx="0">
                  <c:v>40</c:v>
                </c:pt>
                <c:pt idx="1">
                  <c:v>30</c:v>
                </c:pt>
                <c:pt idx="2">
                  <c:v>20</c:v>
                </c:pt>
                <c:pt idx="3">
                  <c:v>17</c:v>
                </c:pt>
                <c:pt idx="4" formatCode="0.0">
                  <c:v>14.285714285714285</c:v>
                </c:pt>
                <c:pt idx="5" formatCode="0.0">
                  <c:v>12.5</c:v>
                </c:pt>
                <c:pt idx="6" formatCode="0.0">
                  <c:v>10.526315789473685</c:v>
                </c:pt>
                <c:pt idx="7" formatCode="0.0">
                  <c:v>9.0909090909090917</c:v>
                </c:pt>
                <c:pt idx="8" formatCode="0.0">
                  <c:v>7.6923076923076916</c:v>
                </c:pt>
                <c:pt idx="9" formatCode="0.0">
                  <c:v>6.666666666666667</c:v>
                </c:pt>
                <c:pt idx="10" formatCode="0.0">
                  <c:v>4.2105263157894735</c:v>
                </c:pt>
                <c:pt idx="11" formatCode="0.0">
                  <c:v>3.6363636363636367</c:v>
                </c:pt>
                <c:pt idx="12" formatCode="0.0">
                  <c:v>3.0769230769230771</c:v>
                </c:pt>
                <c:pt idx="13" formatCode="0.0">
                  <c:v>2.8571428571428572</c:v>
                </c:pt>
                <c:pt idx="14" formatCode="0.0">
                  <c:v>1.8181818181818181</c:v>
                </c:pt>
                <c:pt idx="15" formatCode="0.0">
                  <c:v>1.6216216216216215</c:v>
                </c:pt>
                <c:pt idx="16">
                  <c:v>1.4</c:v>
                </c:pt>
                <c:pt idx="17">
                  <c:v>1</c:v>
                </c:pt>
                <c:pt idx="18">
                  <c:v>0.5</c:v>
                </c:pt>
              </c:numCache>
            </c:numRef>
          </c:yVal>
          <c:smooth val="0"/>
          <c:extLst>
            <c:ext xmlns:c16="http://schemas.microsoft.com/office/drawing/2014/chart" uri="{C3380CC4-5D6E-409C-BE32-E72D297353CC}">
              <c16:uniqueId val="{00000001-88C7-41EA-BA2C-2DACCB187E6F}"/>
            </c:ext>
          </c:extLst>
        </c:ser>
        <c:ser>
          <c:idx val="1"/>
          <c:order val="1"/>
          <c:tx>
            <c:v>Valeurs calculées</c:v>
          </c:tx>
          <c:spPr>
            <a:ln w="25400">
              <a:solidFill>
                <a:srgbClr val="FF0000"/>
              </a:solidFill>
            </a:ln>
          </c:spPr>
          <c:marker>
            <c:symbol val="none"/>
          </c:marker>
          <c:trendline>
            <c:trendlineType val="log"/>
            <c:dispRSqr val="0"/>
            <c:dispEq val="1"/>
            <c:trendlineLbl>
              <c:layout>
                <c:manualLayout>
                  <c:x val="-5.3663579408895726E-2"/>
                  <c:y val="-0.14166963461992321"/>
                </c:manualLayout>
              </c:layout>
              <c:tx>
                <c:rich>
                  <a:bodyPr/>
                  <a:lstStyle/>
                  <a:p>
                    <a:pPr>
                      <a:defRPr lang="fr-FR"/>
                    </a:pPr>
                    <a:r>
                      <a:rPr lang="fr-FR" sz="1200" b="1" baseline="0">
                        <a:solidFill>
                          <a:srgbClr val="FF0000"/>
                        </a:solidFill>
                      </a:rPr>
                      <a:t xml:space="preserve">y = -5ln(x) + 5</a:t>
                    </a:r>
                    <a:endParaRPr lang="fr-FR" sz="1200" b="1">
                      <a:solidFill>
                        <a:srgbClr val="FF0000"/>
                      </a:solidFill>
                    </a:endParaRPr>
                  </a:p>
                </c:rich>
              </c:tx>
              <c:numFmt formatCode="General" sourceLinked="0"/>
            </c:trendlineLbl>
          </c:trendline>
          <c:xVal>
            <c:numRef>
              <c:f>'Densité ajustée'!$CB$89:$CB$107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'Densité ajustée'!$CG$89:$CG$107</c:f>
              <c:numCache>
                <c:formatCode>0.0</c:formatCode>
                <c:ptCount val="19"/>
                <c:pt idx="0">
                  <c:v>39.538776394910684</c:v>
                </c:pt>
                <c:pt idx="1">
                  <c:v>23.444397270569681</c:v>
                </c:pt>
                <c:pt idx="2">
                  <c:v>18.862943611198908</c:v>
                </c:pt>
                <c:pt idx="3">
                  <c:v>16.512925464970227</c:v>
                </c:pt>
                <c:pt idx="4">
                  <c:v>15.397207708399179</c:v>
                </c:pt>
                <c:pt idx="5">
                  <c:v>11.931471805599454</c:v>
                </c:pt>
                <c:pt idx="6">
                  <c:v>9.9041462650586318</c:v>
                </c:pt>
                <c:pt idx="7">
                  <c:v>8.465735902799727</c:v>
                </c:pt>
                <c:pt idx="8">
                  <c:v>7.3500181462286776</c:v>
                </c:pt>
                <c:pt idx="9">
                  <c:v>6.4384103622589048</c:v>
                </c:pt>
                <c:pt idx="10">
                  <c:v>5.6676569631226128</c:v>
                </c:pt>
                <c:pt idx="11">
                  <c:v>5</c:v>
                </c:pt>
                <c:pt idx="12">
                  <c:v>4.4110848217180827</c:v>
                </c:pt>
                <c:pt idx="13">
                  <c:v>3.8842822434289515</c:v>
                </c:pt>
                <c:pt idx="14">
                  <c:v>3.4077313444073272</c:v>
                </c:pt>
                <c:pt idx="15">
                  <c:v>2.9726744594591779</c:v>
                </c:pt>
                <c:pt idx="16">
                  <c:v>1.5342640972002735</c:v>
                </c:pt>
                <c:pt idx="17">
                  <c:v>0.41854634062922447</c:v>
                </c:pt>
                <c:pt idx="18">
                  <c:v>-0.49306144334054913</c:v>
                </c:pt>
              </c:numCache>
            </c:numRef>
          </c:yVal>
          <c:smooth val="0"/>
          <c:extLst>
            <c:ext xmlns:c16="http://schemas.microsoft.com/office/drawing/2014/chart" uri="{C3380CC4-5D6E-409C-BE32-E72D297353CC}">
              <c16:uniqueId val="{00000003-88C7-41EA-BA2C-2DACCB187E6F}"/>
            </c:ext>
          </c:extLst>
        </c:ser>
        <c:ser>
          <c:idx val="2"/>
          <c:order val="2"/>
          <c:tx>
            <c:v>Estimations approximatives</c:v>
          </c:tx>
          <c:spPr>
            <a:ln w="28575">
              <a:noFill/>
            </a:ln>
          </c:spPr>
          <c:marker>
            <c:symbol val="triangle"/>
            <c:size val="7"/>
            <c:spPr>
              <a:solidFill>
                <a:srgbClr val="FF0000"/>
              </a:solidFill>
            </c:spPr>
          </c:marker>
          <c:xVal>
            <c:numRef>
              <c:f>'Densité ajustée'!$CB$89:$CB$107</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'Densité ajustée'!$BZ$89:$BZ$107</c:f>
              <c:numCache>
                <c:formatCode>General</c:formatCode>
                <c:ptCount val="19"/>
                <c:pt idx="0">
                  <c:v>40</c:v>
                </c:pt>
                <c:pt idx="1">
                  <c:v>30</c:v>
                </c:pt>
                <c:pt idx="2">
                  <c:v>20</c:v>
                </c:pt>
                <c:pt idx="3">
                  <c:v>17</c:v>
                </c:pt>
                <c:pt idx="16" formatCode="0.00">
                  <c:v>1.4</c:v>
                </c:pt>
                <c:pt idx="17" formatCode="0.00">
                  <c:v>1</c:v>
                </c:pt>
                <c:pt idx="18" formatCode="0.00">
                  <c:v>0.5</c:v>
                </c:pt>
              </c:numCache>
            </c:numRef>
          </c:yVal>
          <c:smooth val="0"/>
          <c:extLst>
            <c:ext xmlns:c16="http://schemas.microsoft.com/office/drawing/2014/chart" uri="{C3380CC4-5D6E-409C-BE32-E72D297353CC}">
              <c16:uniqueId val="{00000004-88C7-41EA-BA2C-2DACCB187E6F}"/>
            </c:ext>
          </c:extLst>
        </c:ser>
        <c:dLbls>
          <c:showLegendKey val="0"/>
          <c:showVal val="0"/>
          <c:showCatName val="0"/>
          <c:showSerName val="0"/>
          <c:showPercent val="0"/>
          <c:showBubbleSize val="0"/>
        </c:dLbls>
        <c:axId val="415584640"/>
        <c:axId val="415586944"/>
      </c:scatterChart>
      <c:valAx>
        <c:axId val="415584640"/>
        <c:scaling>
          <c:orientation val="minMax"/>
        </c:scaling>
        <c:delete val="0"/>
        <c:axPos val="b"/>
        <c:title>
          <c:tx>
            <c:rich>
              <a:bodyPr/>
              <a:lstStyle/>
              <a:p>
                <a:pPr>
                  <a:defRPr lang="fr-FR"/>
                </a:pPr>
                <a:r>
                  <a:rPr lang="fr-FR"/>
                  <a:t xml:space="preserve">Rapport couvain / abeilles</a:t>
                </a:r>
              </a:p>
            </c:rich>
          </c:tx>
          <c:overlay val="0"/>
        </c:title>
        <c:numFmt formatCode="0.0000" sourceLinked="1"/>
        <c:majorTickMark val="out"/>
        <c:minorTickMark val="none"/>
        <c:tickLblPos val="nextTo"/>
        <c:crossAx val="415586944"/>
        <c:crosses val="autoZero"/>
        <c:crossBetween val="midCat"/>
      </c:valAx>
      <c:valAx>
        <c:axId val="415586944"/>
        <c:scaling>
          <c:orientation val="minMax"/>
        </c:scaling>
        <c:delete val="0"/>
        <c:axPos val="l"/>
        <c:majorGridlines/>
        <c:title>
          <c:tx>
            <c:rich>
              <a:bodyPr rot="-5400000" vert="horz"/>
              <a:lstStyle/>
              <a:p>
                <a:pPr>
                  <a:defRPr lang="fr-FR"/>
                </a:pPr>
                <a:r>
                  <a:rPr lang="fr-FR"/>
                  <a:t xml:space="preserve">Durée phorétique moyenne, en jours</a:t>
                </a:r>
              </a:p>
            </c:rich>
          </c:tx>
          <c:overlay val="0"/>
        </c:title>
        <c:numFmt formatCode="General" sourceLinked="1"/>
        <c:majorTickMark val="out"/>
        <c:minorTickMark val="none"/>
        <c:tickLblPos val="nextTo"/>
        <c:crossAx val="415584640"/>
        <c:crosses val="autoZero"/>
        <c:crossBetween val="midCat"/>
      </c:valAx>
    </c:plotArea>
    <c:legend>
      <c:legendPos val="r"/>
      <c:overlay val="0"/>
    </c:legend>
    <c:plotVisOnly val="1"/>
    <c:dispBlanksAs val="span"/>
    <c:showDLblsOverMax val="0"/>
  </c:chart>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colonie'!$M$31:$M$54</c:f>
              <c:numCache>
                <c:formatCode>General</c:formatCode>
                <c:ptCount val="24"/>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8">
                  <c:v>30000</c:v>
                </c:pt>
                <c:pt idx="19">
                  <c:v>24000</c:v>
                </c:pt>
                <c:pt idx="20">
                  <c:v>18000</c:v>
                </c:pt>
                <c:pt idx="21">
                  <c:v>17000</c:v>
                </c:pt>
                <c:pt idx="22">
                  <c:v>16500</c:v>
                </c:pt>
                <c:pt idx="23">
                  <c:v>16000</c:v>
                </c:pt>
              </c:numCache>
            </c:numRef>
          </c:val>
          <c:smooth val="0"/>
          <c:extLst>
            <c:ext xmlns:c16="http://schemas.microsoft.com/office/drawing/2014/chart" uri="{C3380CC4-5D6E-409C-BE32-E72D297353CC}">
              <c16:uniqueId val="{00000000-BC2A-4CE2-BDE1-E929A90AF6A6}"/>
            </c:ext>
          </c:extLst>
        </c:ser>
        <c:ser>
          <c:idx val="2"/>
          <c:order val="1"/>
          <c:tx>
            <c:v>Couvain total</c:v>
          </c:tx>
          <c:spPr>
            <a:ln w="38100">
              <a:solidFill>
                <a:schemeClr val="accent6">
                  <a:lumMod val="50000"/>
                </a:schemeClr>
              </a:solidFill>
              <a:prstDash val="sysDot"/>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colonie'!$N$31:$N$54</c:f>
              <c:numCache>
                <c:formatCode>General</c:formatCode>
                <c:ptCount val="24"/>
                <c:pt idx="0">
                  <c:v>0</c:v>
                </c:pt>
                <c:pt idx="1">
                  <c:v>1125</c:v>
                </c:pt>
                <c:pt idx="2">
                  <c:v>1485</c:v>
                </c:pt>
                <c:pt idx="3">
                  <c:v>3375</c:v>
                </c:pt>
                <c:pt idx="4">
                  <c:v>4500</c:v>
                </c:pt>
                <c:pt idx="5">
                  <c:v>9000</c:v>
                </c:pt>
                <c:pt idx="6">
                  <c:v>13500</c:v>
                </c:pt>
                <c:pt idx="7">
                  <c:v>22500</c:v>
                </c:pt>
                <c:pt idx="8">
                  <c:v>27000</c:v>
                </c:pt>
                <c:pt idx="9">
                  <c:v>29250</c:v>
                </c:pt>
                <c:pt idx="10">
                  <c:v>31500</c:v>
                </c:pt>
                <c:pt idx="11">
                  <c:v>29250</c:v>
                </c:pt>
                <c:pt idx="12">
                  <c:v>27000</c:v>
                </c:pt>
                <c:pt idx="13">
                  <c:v>22500</c:v>
                </c:pt>
                <c:pt idx="14">
                  <c:v>20250</c:v>
                </c:pt>
                <c:pt idx="15">
                  <c:v>18000</c:v>
                </c:pt>
                <c:pt idx="16">
                  <c:v>15750</c:v>
                </c:pt>
                <c:pt idx="17">
                  <c:v>18000</c:v>
                </c:pt>
                <c:pt idx="18">
                  <c:v>9000</c:v>
                </c:pt>
                <c:pt idx="19">
                  <c:v>2250</c:v>
                </c:pt>
                <c:pt idx="20">
                  <c:v>1125</c:v>
                </c:pt>
                <c:pt idx="21">
                  <c:v>562.5</c:v>
                </c:pt>
                <c:pt idx="22">
                  <c:v>450</c:v>
                </c:pt>
                <c:pt idx="23">
                  <c:v>0</c:v>
                </c:pt>
              </c:numCache>
            </c:numRef>
          </c:val>
          <c:smooth val="0"/>
          <c:extLst>
            <c:ext xmlns:c16="http://schemas.microsoft.com/office/drawing/2014/chart" uri="{C3380CC4-5D6E-409C-BE32-E72D297353CC}">
              <c16:uniqueId val="{00000001-BC2A-4CE2-BDE1-E929A90AF6A6}"/>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colonie'!$C$31:$C$54</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BC2A-4CE2-BDE1-E929A90AF6A6}"/>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colonie'!$D$31:$D$54</c:f>
              <c:numCache>
                <c:formatCode>General</c:formatCode>
                <c:ptCount val="24"/>
                <c:pt idx="6">
                  <c:v>1</c:v>
                </c:pt>
                <c:pt idx="7">
                  <c:v>1</c:v>
                </c:pt>
                <c:pt idx="8">
                  <c:v>1</c:v>
                </c:pt>
                <c:pt idx="9">
                  <c:v>1</c:v>
                </c:pt>
                <c:pt idx="10">
                  <c:v>1</c:v>
                </c:pt>
                <c:pt idx="11">
                  <c:v>1</c:v>
                </c:pt>
                <c:pt idx="12">
                  <c:v>1</c:v>
                </c:pt>
                <c:pt idx="13">
                  <c:v>1</c:v>
                </c:pt>
                <c:pt idx="14">
                  <c:v>1</c:v>
                </c:pt>
                <c:pt idx="15">
                  <c:v>1</c:v>
                </c:pt>
              </c:numCache>
            </c:numRef>
          </c:val>
          <c:smooth val="0"/>
          <c:extLst>
            <c:ext xmlns:c16="http://schemas.microsoft.com/office/drawing/2014/chart" uri="{C3380CC4-5D6E-409C-BE32-E72D297353CC}">
              <c16:uniqueId val="{00000003-BC2A-4CE2-BDE1-E929A90AF6A6}"/>
            </c:ext>
          </c:extLst>
        </c:ser>
        <c:dLbls>
          <c:showLegendKey val="0"/>
          <c:showVal val="0"/>
          <c:showCatName val="0"/>
          <c:showSerName val="0"/>
          <c:showPercent val="0"/>
          <c:showBubbleSize val="0"/>
        </c:dLbls>
        <c:marker val="1"/>
        <c:smooth val="0"/>
        <c:axId val="415345664"/>
        <c:axId val="415355648"/>
      </c:lineChart>
      <c:dateAx>
        <c:axId val="415345664"/>
        <c:scaling>
          <c:orientation val="minMax"/>
        </c:scaling>
        <c:delete val="0"/>
        <c:axPos val="b"/>
        <c:numFmt formatCode="[$-40C]d\-mmm;@" sourceLinked="1"/>
        <c:majorTickMark val="cross"/>
        <c:minorTickMark val="none"/>
        <c:tickLblPos val="nextTo"/>
        <c:txPr>
          <a:bodyPr/>
          <a:lstStyle/>
          <a:p>
            <a:pPr>
              <a:defRPr b="1" lang="fr-FR"/>
            </a:pPr>
            <a:endParaRPr lang="fr-FR"/>
          </a:p>
        </c:txPr>
        <c:crossAx val="415355648"/>
        <c:crosses val="autoZero"/>
        <c:auto val="1"/>
        <c:lblOffset val="100"/>
        <c:baseTimeUnit val="days"/>
      </c:dateAx>
      <c:valAx>
        <c:axId val="415355648"/>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5345664"/>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43495664113"/>
          <c:y val="6.7599434686048884E-2"/>
          <c:w val="0.77464173422335103"/>
          <c:h val="0.82931961756200234"/>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colonie'!$E$171:$E$194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colonie'!$M$171:$M$194</c:f>
              <c:numCache>
                <c:formatCode>General</c:formatCode>
                <c:ptCount val="24"/>
                <c:pt idx="0">
                  <c:v>12000</c:v>
                </c:pt>
                <c:pt idx="1">
                  <c:v>11000</c:v>
                </c:pt>
                <c:pt idx="2">
                  <c:v>12000</c:v>
                </c:pt>
                <c:pt idx="3">
                  <c:v>16000</c:v>
                </c:pt>
                <c:pt idx="4">
                  <c:v>22000</c:v>
                </c:pt>
                <c:pt idx="5">
                  <c:v>32000</c:v>
                </c:pt>
                <c:pt idx="6">
                  <c:v>40000</c:v>
                </c:pt>
                <c:pt idx="7">
                  <c:v>30000</c:v>
                </c:pt>
                <c:pt idx="8">
                  <c:v>30000</c:v>
                </c:pt>
                <c:pt idx="9">
                  <c:v>40000</c:v>
                </c:pt>
                <c:pt idx="10">
                  <c:v>46000</c:v>
                </c:pt>
                <c:pt idx="11">
                  <c:v>50000</c:v>
                </c:pt>
                <c:pt idx="12">
                  <c:v>48000</c:v>
                </c:pt>
                <c:pt idx="13">
                  <c:v>46000</c:v>
                </c:pt>
                <c:pt idx="14">
                  <c:v>40000</c:v>
                </c:pt>
                <c:pt idx="15">
                  <c:v>34000</c:v>
                </c:pt>
                <c:pt idx="16">
                  <c:v>28000</c:v>
                </c:pt>
                <c:pt idx="17">
                  <c:v>24000</c:v>
                </c:pt>
                <c:pt idx="18">
                  <c:v>20000</c:v>
                </c:pt>
                <c:pt idx="19">
                  <c:v>18000</c:v>
                </c:pt>
                <c:pt idx="20">
                  <c:v>16000</c:v>
                </c:pt>
                <c:pt idx="21">
                  <c:v>14000</c:v>
                </c:pt>
                <c:pt idx="22">
                  <c:v>12000</c:v>
                </c:pt>
                <c:pt idx="23">
                  <c:v>12000</c:v>
                </c:pt>
              </c:numCache>
            </c:numRef>
          </c:val>
          <c:smooth val="0"/>
          <c:extLst>
            <c:ext xmlns:c16="http://schemas.microsoft.com/office/drawing/2014/chart" uri="{C3380CC4-5D6E-409C-BE32-E72D297353CC}">
              <c16:uniqueId val="{00000000-E66E-45B3-8426-A56A0F8CCEB6}"/>
            </c:ext>
          </c:extLst>
        </c:ser>
        <c:ser>
          <c:idx val="2"/>
          <c:order val="1"/>
          <c:tx>
            <c:v>Couvain total</c:v>
          </c:tx>
          <c:spPr>
            <a:ln w="38100">
              <a:solidFill>
                <a:schemeClr val="accent6">
                  <a:lumMod val="50000"/>
                </a:schemeClr>
              </a:solidFill>
              <a:prstDash val="sysDot"/>
            </a:ln>
          </c:spPr>
          <c:marker>
            <c:symbol val="none"/>
          </c:marker>
          <c:cat>
            <c:numRef>
              <c:f>'Profils de colonie'!$E$171:$E$194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colonie'!$N$171:$N$194</c:f>
              <c:numCache>
                <c:formatCode>General</c:formatCode>
                <c:ptCount val="24"/>
                <c:pt idx="0">
                  <c:v>2250</c:v>
                </c:pt>
                <c:pt idx="1">
                  <c:v>11250</c:v>
                </c:pt>
                <c:pt idx="2">
                  <c:v>20250</c:v>
                </c:pt>
                <c:pt idx="3">
                  <c:v>24750</c:v>
                </c:pt>
                <c:pt idx="4">
                  <c:v>31500</c:v>
                </c:pt>
                <c:pt idx="5">
                  <c:v>36000</c:v>
                </c:pt>
                <c:pt idx="6">
                  <c:v>45000</c:v>
                </c:pt>
                <c:pt idx="7">
                  <c:v>40500</c:v>
                </c:pt>
                <c:pt idx="8">
                  <c:v>40500</c:v>
                </c:pt>
                <c:pt idx="9">
                  <c:v>45000</c:v>
                </c:pt>
                <c:pt idx="10">
                  <c:v>45000</c:v>
                </c:pt>
                <c:pt idx="11">
                  <c:v>40500</c:v>
                </c:pt>
                <c:pt idx="12">
                  <c:v>27000</c:v>
                </c:pt>
                <c:pt idx="13">
                  <c:v>22500</c:v>
                </c:pt>
                <c:pt idx="14">
                  <c:v>20250</c:v>
                </c:pt>
                <c:pt idx="15">
                  <c:v>18000</c:v>
                </c:pt>
                <c:pt idx="16">
                  <c:v>15750</c:v>
                </c:pt>
                <c:pt idx="17">
                  <c:v>18000</c:v>
                </c:pt>
                <c:pt idx="18">
                  <c:v>22500</c:v>
                </c:pt>
                <c:pt idx="19">
                  <c:v>18000</c:v>
                </c:pt>
                <c:pt idx="20">
                  <c:v>4500</c:v>
                </c:pt>
                <c:pt idx="21">
                  <c:v>0</c:v>
                </c:pt>
                <c:pt idx="22">
                  <c:v>0</c:v>
                </c:pt>
                <c:pt idx="23">
                  <c:v>0</c:v>
                </c:pt>
              </c:numCache>
            </c:numRef>
          </c:val>
          <c:smooth val="0"/>
          <c:extLst>
            <c:ext xmlns:c16="http://schemas.microsoft.com/office/drawing/2014/chart" uri="{C3380CC4-5D6E-409C-BE32-E72D297353CC}">
              <c16:uniqueId val="{00000001-E66E-45B3-8426-A56A0F8CCEB6}"/>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colonie'!$C$171:$C$194</c:f>
              <c:numCache>
                <c:formatCode>General</c:formatCode>
                <c:ptCount val="24"/>
                <c:pt idx="0">
                  <c:v>1</c:v>
                </c:pt>
                <c:pt idx="1">
                  <c:v>1</c:v>
                </c:pt>
                <c:pt idx="2">
                  <c:v>1</c:v>
                </c:pt>
                <c:pt idx="3">
                  <c:v>1</c:v>
                </c:pt>
                <c:pt idx="4">
                  <c:v>1</c:v>
                </c:pt>
                <c:pt idx="20">
                  <c:v>1</c:v>
                </c:pt>
                <c:pt idx="21">
                  <c:v>1</c:v>
                </c:pt>
                <c:pt idx="22">
                  <c:v>1</c:v>
                </c:pt>
                <c:pt idx="23">
                  <c:v>1</c:v>
                </c:pt>
              </c:numCache>
            </c:numRef>
          </c:val>
          <c:smooth val="0"/>
          <c:extLst>
            <c:ext xmlns:c16="http://schemas.microsoft.com/office/drawing/2014/chart" uri="{C3380CC4-5D6E-409C-BE32-E72D297353CC}">
              <c16:uniqueId val="{00000002-E66E-45B3-8426-A56A0F8CCEB6}"/>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colonie'!$D$171:$D$194</c:f>
              <c:numCache>
                <c:formatCode>General</c:formatCode>
                <c:ptCount val="24"/>
                <c:pt idx="1">
                  <c:v>1</c:v>
                </c:pt>
                <c:pt idx="2">
                  <c:v>1</c:v>
                </c:pt>
                <c:pt idx="3">
                  <c:v>1</c:v>
                </c:pt>
                <c:pt idx="4">
                  <c:v>1</c:v>
                </c:pt>
                <c:pt idx="5">
                  <c:v>1</c:v>
                </c:pt>
                <c:pt idx="6">
                  <c:v>1</c:v>
                </c:pt>
                <c:pt idx="7">
                  <c:v>1</c:v>
                </c:pt>
                <c:pt idx="8">
                  <c:v>1</c:v>
                </c:pt>
                <c:pt idx="9">
                  <c:v>1</c:v>
                </c:pt>
                <c:pt idx="10">
                  <c:v>1</c:v>
                </c:pt>
                <c:pt idx="11">
                  <c:v>1</c:v>
                </c:pt>
                <c:pt idx="18">
                  <c:v>1</c:v>
                </c:pt>
                <c:pt idx="19">
                  <c:v>1</c:v>
                </c:pt>
              </c:numCache>
            </c:numRef>
          </c:val>
          <c:smooth val="0"/>
          <c:extLst>
            <c:ext xmlns:c16="http://schemas.microsoft.com/office/drawing/2014/chart" uri="{C3380CC4-5D6E-409C-BE32-E72D297353CC}">
              <c16:uniqueId val="{00000003-E66E-45B3-8426-A56A0F8CCEB6}"/>
            </c:ext>
          </c:extLst>
        </c:ser>
        <c:dLbls>
          <c:showLegendKey val="0"/>
          <c:showVal val="0"/>
          <c:showCatName val="0"/>
          <c:showSerName val="0"/>
          <c:showPercent val="0"/>
          <c:showBubbleSize val="0"/>
        </c:dLbls>
        <c:marker val="1"/>
        <c:smooth val="0"/>
        <c:axId val="415419392"/>
        <c:axId val="415953664"/>
      </c:lineChart>
      <c:dateAx>
        <c:axId val="415419392"/>
        <c:scaling>
          <c:orientation val="minMax"/>
        </c:scaling>
        <c:delete val="0"/>
        <c:axPos val="b"/>
        <c:numFmt formatCode="[$-40C]d\-mmm;@" sourceLinked="1"/>
        <c:majorTickMark val="cross"/>
        <c:minorTickMark val="none"/>
        <c:tickLblPos val="nextTo"/>
        <c:txPr>
          <a:bodyPr/>
          <a:lstStyle/>
          <a:p>
            <a:pPr>
              <a:defRPr b="1" lang="fr-FR"/>
            </a:pPr>
            <a:endParaRPr lang="fr-FR"/>
          </a:p>
        </c:txPr>
        <c:crossAx val="415953664"/>
        <c:crosses val="autoZero"/>
        <c:auto val="1"/>
        <c:lblOffset val="100"/>
        <c:baseTimeUnit val="days"/>
      </c:dateAx>
      <c:valAx>
        <c:axId val="415953664"/>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5419392"/>
        <c:crosses val="autoZero"/>
        <c:crossBetween val="between"/>
      </c:valAx>
    </c:plotArea>
    <c:legend>
      <c:legendPos val="r"/>
      <c:layout>
        <c:manualLayout>
          <c:xMode val="edge"/>
          <c:yMode val="edge"/>
          <c:x val="0.12641256799601103"/>
          <c:y val="7.7373174507032794E-2"/>
          <c:w val="0.23229376633511895"/>
          <c:h val="0.37804000109742386"/>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43495664113"/>
          <c:y val="5.3924221010835188E-2"/>
          <c:w val="0.77464173422335103"/>
          <c:h val="0.8618951661812202"/>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colonie'!$E$199:$E$222</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colonie'!$M$199:$M$222</c:f>
              <c:numCache>
                <c:formatCode>General</c:formatCode>
                <c:ptCount val="24"/>
                <c:pt idx="0">
                  <c:v>16000</c:v>
                </c:pt>
                <c:pt idx="1">
                  <c:v>16000</c:v>
                </c:pt>
                <c:pt idx="2">
                  <c:v>20000</c:v>
                </c:pt>
                <c:pt idx="3">
                  <c:v>24000</c:v>
                </c:pt>
                <c:pt idx="4">
                  <c:v>32000</c:v>
                </c:pt>
                <c:pt idx="5">
                  <c:v>40000</c:v>
                </c:pt>
                <c:pt idx="6">
                  <c:v>10000</c:v>
                </c:pt>
                <c:pt idx="7">
                  <c:v>10000</c:v>
                </c:pt>
                <c:pt idx="8">
                  <c:v>14000</c:v>
                </c:pt>
                <c:pt idx="9">
                  <c:v>20000</c:v>
                </c:pt>
                <c:pt idx="10">
                  <c:v>28000</c:v>
                </c:pt>
                <c:pt idx="11">
                  <c:v>36000</c:v>
                </c:pt>
                <c:pt idx="12">
                  <c:v>42000</c:v>
                </c:pt>
                <c:pt idx="13">
                  <c:v>44000</c:v>
                </c:pt>
                <c:pt idx="14">
                  <c:v>40000</c:v>
                </c:pt>
                <c:pt idx="15">
                  <c:v>34000</c:v>
                </c:pt>
                <c:pt idx="16">
                  <c:v>28000</c:v>
                </c:pt>
                <c:pt idx="17">
                  <c:v>24000</c:v>
                </c:pt>
                <c:pt idx="18">
                  <c:v>20000</c:v>
                </c:pt>
                <c:pt idx="19">
                  <c:v>18000</c:v>
                </c:pt>
                <c:pt idx="20">
                  <c:v>16000</c:v>
                </c:pt>
                <c:pt idx="21">
                  <c:v>14000</c:v>
                </c:pt>
                <c:pt idx="22">
                  <c:v>16000</c:v>
                </c:pt>
                <c:pt idx="23">
                  <c:v>16000</c:v>
                </c:pt>
              </c:numCache>
            </c:numRef>
          </c:val>
          <c:smooth val="0"/>
          <c:extLst>
            <c:ext xmlns:c16="http://schemas.microsoft.com/office/drawing/2014/chart" uri="{C3380CC4-5D6E-409C-BE32-E72D297353CC}">
              <c16:uniqueId val="{00000000-934B-452C-9396-6D62C8F89B3F}"/>
            </c:ext>
          </c:extLst>
        </c:ser>
        <c:ser>
          <c:idx val="2"/>
          <c:order val="1"/>
          <c:tx>
            <c:v>Couvain total</c:v>
          </c:tx>
          <c:spPr>
            <a:ln w="38100">
              <a:solidFill>
                <a:schemeClr val="accent6">
                  <a:lumMod val="50000"/>
                </a:schemeClr>
              </a:solidFill>
              <a:prstDash val="sysDot"/>
            </a:ln>
          </c:spPr>
          <c:marker>
            <c:symbol val="none"/>
          </c:marker>
          <c:cat>
            <c:numRef>
              <c:f>'Profils de colonie'!$E$199:$E$222</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colonie'!$N$199:$N$222</c:f>
              <c:numCache>
                <c:formatCode>General</c:formatCode>
                <c:ptCount val="24"/>
                <c:pt idx="0">
                  <c:v>2250</c:v>
                </c:pt>
                <c:pt idx="1">
                  <c:v>11250</c:v>
                </c:pt>
                <c:pt idx="2">
                  <c:v>22500</c:v>
                </c:pt>
                <c:pt idx="3">
                  <c:v>27000</c:v>
                </c:pt>
                <c:pt idx="4">
                  <c:v>31500</c:v>
                </c:pt>
                <c:pt idx="5">
                  <c:v>31500</c:v>
                </c:pt>
                <c:pt idx="6">
                  <c:v>13500</c:v>
                </c:pt>
                <c:pt idx="7">
                  <c:v>13500</c:v>
                </c:pt>
                <c:pt idx="8">
                  <c:v>22500</c:v>
                </c:pt>
                <c:pt idx="9">
                  <c:v>27000</c:v>
                </c:pt>
                <c:pt idx="10">
                  <c:v>31500</c:v>
                </c:pt>
                <c:pt idx="11">
                  <c:v>31500</c:v>
                </c:pt>
                <c:pt idx="12">
                  <c:v>27000</c:v>
                </c:pt>
                <c:pt idx="13">
                  <c:v>22500</c:v>
                </c:pt>
                <c:pt idx="14">
                  <c:v>15750</c:v>
                </c:pt>
                <c:pt idx="15">
                  <c:v>15750</c:v>
                </c:pt>
                <c:pt idx="16">
                  <c:v>9000</c:v>
                </c:pt>
                <c:pt idx="17">
                  <c:v>13500</c:v>
                </c:pt>
                <c:pt idx="18">
                  <c:v>13500</c:v>
                </c:pt>
                <c:pt idx="19">
                  <c:v>11250</c:v>
                </c:pt>
                <c:pt idx="20">
                  <c:v>9000</c:v>
                </c:pt>
                <c:pt idx="21">
                  <c:v>2250</c:v>
                </c:pt>
                <c:pt idx="22">
                  <c:v>2250</c:v>
                </c:pt>
                <c:pt idx="23">
                  <c:v>0</c:v>
                </c:pt>
              </c:numCache>
            </c:numRef>
          </c:val>
          <c:smooth val="0"/>
          <c:extLst>
            <c:ext xmlns:c16="http://schemas.microsoft.com/office/drawing/2014/chart" uri="{C3380CC4-5D6E-409C-BE32-E72D297353CC}">
              <c16:uniqueId val="{00000001-934B-452C-9396-6D62C8F89B3F}"/>
            </c:ext>
          </c:extLst>
        </c:ser>
        <c:ser>
          <c:idx val="0"/>
          <c:order val="2"/>
          <c:tx>
            <c:v>Températures basses</c:v>
          </c:tx>
          <c:spPr>
            <a:ln w="127000"/>
          </c:spPr>
          <c:marker>
            <c:symbol val="none"/>
          </c:marker>
          <c:cat>
            <c:numRef>
              <c:f>'Profils de colonie'!$E$199:$E$222</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colonie'!$C$199:$C$222</c:f>
              <c:numCache>
                <c:formatCode>General</c:formatCode>
                <c:ptCount val="24"/>
                <c:pt idx="0">
                  <c:v>1</c:v>
                </c:pt>
                <c:pt idx="1">
                  <c:v>1</c:v>
                </c:pt>
                <c:pt idx="2">
                  <c:v>1</c:v>
                </c:pt>
                <c:pt idx="3">
                  <c:v>1</c:v>
                </c:pt>
                <c:pt idx="4">
                  <c:v>1</c:v>
                </c:pt>
                <c:pt idx="20">
                  <c:v>1</c:v>
                </c:pt>
                <c:pt idx="21">
                  <c:v>1</c:v>
                </c:pt>
                <c:pt idx="22">
                  <c:v>1</c:v>
                </c:pt>
                <c:pt idx="23">
                  <c:v>1</c:v>
                </c:pt>
              </c:numCache>
            </c:numRef>
          </c:val>
          <c:smooth val="0"/>
          <c:extLst>
            <c:ext xmlns:c16="http://schemas.microsoft.com/office/drawing/2014/chart" uri="{C3380CC4-5D6E-409C-BE32-E72D297353CC}">
              <c16:uniqueId val="{00000002-934B-452C-9396-6D62C8F89B3F}"/>
            </c:ext>
          </c:extLst>
        </c:ser>
        <c:ser>
          <c:idx val="4"/>
          <c:order val="3"/>
          <c:tx>
            <c:v>Apports de pollen</c:v>
          </c:tx>
          <c:spPr>
            <a:ln w="127000">
              <a:solidFill>
                <a:srgbClr val="FFC000"/>
              </a:solidFill>
            </a:ln>
          </c:spPr>
          <c:marker>
            <c:symbol val="none"/>
          </c:marker>
          <c:cat>
            <c:numRef>
              <c:f>'Profils de colonie'!$E$199:$E$222</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colonie'!$D$199:$D$222</c:f>
              <c:numCache>
                <c:formatCode>General</c:formatCode>
                <c:ptCount val="24"/>
                <c:pt idx="1">
                  <c:v>1</c:v>
                </c:pt>
                <c:pt idx="2">
                  <c:v>1</c:v>
                </c:pt>
                <c:pt idx="3">
                  <c:v>1</c:v>
                </c:pt>
                <c:pt idx="4">
                  <c:v>1</c:v>
                </c:pt>
                <c:pt idx="5">
                  <c:v>1</c:v>
                </c:pt>
                <c:pt idx="6">
                  <c:v>1</c:v>
                </c:pt>
                <c:pt idx="7">
                  <c:v>1</c:v>
                </c:pt>
                <c:pt idx="8">
                  <c:v>1</c:v>
                </c:pt>
                <c:pt idx="9">
                  <c:v>1</c:v>
                </c:pt>
                <c:pt idx="10">
                  <c:v>1</c:v>
                </c:pt>
                <c:pt idx="11">
                  <c:v>1</c:v>
                </c:pt>
                <c:pt idx="18">
                  <c:v>1</c:v>
                </c:pt>
                <c:pt idx="19">
                  <c:v>1</c:v>
                </c:pt>
              </c:numCache>
            </c:numRef>
          </c:val>
          <c:smooth val="0"/>
          <c:extLst>
            <c:ext xmlns:c16="http://schemas.microsoft.com/office/drawing/2014/chart" uri="{C3380CC4-5D6E-409C-BE32-E72D297353CC}">
              <c16:uniqueId val="{00000003-934B-452C-9396-6D62C8F89B3F}"/>
            </c:ext>
          </c:extLst>
        </c:ser>
        <c:dLbls>
          <c:showLegendKey val="0"/>
          <c:showVal val="0"/>
          <c:showCatName val="0"/>
          <c:showSerName val="0"/>
          <c:showPercent val="0"/>
          <c:showBubbleSize val="0"/>
        </c:dLbls>
        <c:marker val="1"/>
        <c:smooth val="0"/>
        <c:axId val="416250880"/>
        <c:axId val="416256768"/>
      </c:lineChart>
      <c:dateAx>
        <c:axId val="416250880"/>
        <c:scaling>
          <c:orientation val="minMax"/>
        </c:scaling>
        <c:delete val="0"/>
        <c:axPos val="b"/>
        <c:numFmt formatCode="[$-40C]d\-mmm;@" sourceLinked="1"/>
        <c:majorTickMark val="cross"/>
        <c:minorTickMark val="none"/>
        <c:tickLblPos val="low"/>
        <c:txPr>
          <a:bodyPr/>
          <a:lstStyle/>
          <a:p>
            <a:pPr>
              <a:defRPr b="1" lang="fr-FR"/>
            </a:pPr>
            <a:endParaRPr lang="fr-FR"/>
          </a:p>
        </c:txPr>
        <c:crossAx val="416256768"/>
        <c:crosses val="autoZero"/>
        <c:auto val="1"/>
        <c:lblOffset val="100"/>
        <c:baseTimeUnit val="days"/>
      </c:dateAx>
      <c:valAx>
        <c:axId val="416256768"/>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250880"/>
        <c:crosses val="autoZero"/>
        <c:crossBetween val="midCat"/>
      </c:valAx>
    </c:plotArea>
    <c:legend>
      <c:legendPos val="r"/>
      <c:layout>
        <c:manualLayout>
          <c:xMode val="edge"/>
          <c:yMode val="edge"/>
          <c:x val="0.1285504632499172"/>
          <c:y val="7.3954371088229373E-2"/>
          <c:w val="0.26044730356883677"/>
          <c:h val="0.43330918229880122"/>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43495664113"/>
          <c:y val="6.7599434686048884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colonie'!$M$255:$M$278</c:f>
              <c:numCache>
                <c:formatCode>General</c:formatCode>
                <c:ptCount val="24"/>
                <c:pt idx="0">
                  <c:v>10000</c:v>
                </c:pt>
                <c:pt idx="1">
                  <c:v>10000</c:v>
                </c:pt>
                <c:pt idx="2">
                  <c:v>9000</c:v>
                </c:pt>
                <c:pt idx="3">
                  <c:v>9000</c:v>
                </c:pt>
                <c:pt idx="4">
                  <c:v>8000</c:v>
                </c:pt>
                <c:pt idx="5">
                  <c:v>8000</c:v>
                </c:pt>
                <c:pt idx="6">
                  <c:v>8000</c:v>
                </c:pt>
                <c:pt idx="7">
                  <c:v>8000</c:v>
                </c:pt>
                <c:pt idx="8">
                  <c:v>8000</c:v>
                </c:pt>
                <c:pt idx="9">
                  <c:v>7000</c:v>
                </c:pt>
                <c:pt idx="10">
                  <c:v>9000</c:v>
                </c:pt>
                <c:pt idx="11">
                  <c:v>10000</c:v>
                </c:pt>
                <c:pt idx="12">
                  <c:v>10200</c:v>
                </c:pt>
                <c:pt idx="13">
                  <c:v>10400</c:v>
                </c:pt>
                <c:pt idx="14">
                  <c:v>11000</c:v>
                </c:pt>
                <c:pt idx="15">
                  <c:v>12000</c:v>
                </c:pt>
                <c:pt idx="16">
                  <c:v>12400</c:v>
                </c:pt>
                <c:pt idx="17">
                  <c:v>13000</c:v>
                </c:pt>
                <c:pt idx="18">
                  <c:v>13000</c:v>
                </c:pt>
                <c:pt idx="19">
                  <c:v>12000</c:v>
                </c:pt>
                <c:pt idx="20">
                  <c:v>11000</c:v>
                </c:pt>
                <c:pt idx="21">
                  <c:v>10000</c:v>
                </c:pt>
                <c:pt idx="22">
                  <c:v>10000</c:v>
                </c:pt>
                <c:pt idx="23">
                  <c:v>10000</c:v>
                </c:pt>
              </c:numCache>
            </c:numRef>
          </c:val>
          <c:smooth val="0"/>
          <c:extLst>
            <c:ext xmlns:c16="http://schemas.microsoft.com/office/drawing/2014/chart" uri="{C3380CC4-5D6E-409C-BE32-E72D297353CC}">
              <c16:uniqueId val="{00000000-6CB2-4B18-AB0E-60C0ADA6A14D}"/>
            </c:ext>
          </c:extLst>
        </c:ser>
        <c:ser>
          <c:idx val="2"/>
          <c:order val="1"/>
          <c:tx>
            <c:v>Couvain total</c:v>
          </c:tx>
          <c:spPr>
            <a:ln w="38100">
              <a:solidFill>
                <a:schemeClr val="accent6">
                  <a:lumMod val="50000"/>
                </a:schemeClr>
              </a:solidFill>
              <a:prstDash val="sysDot"/>
            </a:ln>
          </c:spPr>
          <c:marker>
            <c:symbol val="none"/>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colonie'!$N$255:$N$278</c:f>
              <c:numCache>
                <c:formatCode>General</c:formatCode>
                <c:ptCount val="24"/>
                <c:pt idx="0">
                  <c:v>0</c:v>
                </c:pt>
                <c:pt idx="1">
                  <c:v>0</c:v>
                </c:pt>
                <c:pt idx="2">
                  <c:v>0</c:v>
                </c:pt>
                <c:pt idx="3">
                  <c:v>2250</c:v>
                </c:pt>
                <c:pt idx="4">
                  <c:v>2250</c:v>
                </c:pt>
                <c:pt idx="5">
                  <c:v>3375</c:v>
                </c:pt>
                <c:pt idx="6">
                  <c:v>3375</c:v>
                </c:pt>
                <c:pt idx="7">
                  <c:v>4500</c:v>
                </c:pt>
                <c:pt idx="8">
                  <c:v>6750</c:v>
                </c:pt>
                <c:pt idx="9">
                  <c:v>6750</c:v>
                </c:pt>
                <c:pt idx="10">
                  <c:v>7875</c:v>
                </c:pt>
                <c:pt idx="11">
                  <c:v>9000</c:v>
                </c:pt>
                <c:pt idx="12">
                  <c:v>9000</c:v>
                </c:pt>
                <c:pt idx="13">
                  <c:v>7875</c:v>
                </c:pt>
                <c:pt idx="14">
                  <c:v>9000</c:v>
                </c:pt>
                <c:pt idx="15">
                  <c:v>9900</c:v>
                </c:pt>
                <c:pt idx="16">
                  <c:v>9000</c:v>
                </c:pt>
                <c:pt idx="17">
                  <c:v>9000</c:v>
                </c:pt>
                <c:pt idx="18">
                  <c:v>6750</c:v>
                </c:pt>
                <c:pt idx="19">
                  <c:v>6750</c:v>
                </c:pt>
                <c:pt idx="20">
                  <c:v>4500</c:v>
                </c:pt>
                <c:pt idx="21">
                  <c:v>0</c:v>
                </c:pt>
                <c:pt idx="22">
                  <c:v>0</c:v>
                </c:pt>
                <c:pt idx="23">
                  <c:v>0</c:v>
                </c:pt>
              </c:numCache>
            </c:numRef>
          </c:val>
          <c:smooth val="0"/>
          <c:extLst>
            <c:ext xmlns:c16="http://schemas.microsoft.com/office/drawing/2014/chart" uri="{C3380CC4-5D6E-409C-BE32-E72D297353CC}">
              <c16:uniqueId val="{00000001-6CB2-4B18-AB0E-60C0ADA6A14D}"/>
            </c:ext>
          </c:extLst>
        </c:ser>
        <c:dLbls>
          <c:showLegendKey val="0"/>
          <c:showVal val="0"/>
          <c:showCatName val="0"/>
          <c:showSerName val="0"/>
          <c:showPercent val="0"/>
          <c:showBubbleSize val="0"/>
        </c:dLbls>
        <c:marker val="1"/>
        <c:smooth val="0"/>
        <c:axId val="416296320"/>
        <c:axId val="416310400"/>
      </c:lineChart>
      <c:lineChart>
        <c:grouping val="standard"/>
        <c:varyColors val="0"/>
        <c:ser>
          <c:idx val="0"/>
          <c:order val="2"/>
          <c:tx>
            <c:v>Températures basses</c:v>
          </c:tx>
          <c:spPr>
            <a:ln w="127000"/>
          </c:spPr>
          <c:marker>
            <c:symbol val="none"/>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colonie'!$C$255:$C$278</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6CB2-4B18-AB0E-60C0ADA6A14D}"/>
            </c:ext>
          </c:extLst>
        </c:ser>
        <c:ser>
          <c:idx val="4"/>
          <c:order val="3"/>
          <c:tx>
            <c:v>Apports de pollen</c:v>
          </c:tx>
          <c:spPr>
            <a:ln w="127000">
              <a:solidFill>
                <a:srgbClr val="FFC000"/>
              </a:solidFill>
            </a:ln>
          </c:spPr>
          <c:marker>
            <c:symbol val="none"/>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colonie'!$D$255:$D$278</c:f>
              <c:numCache>
                <c:formatCode>General</c:formatCode>
                <c:ptCount val="24"/>
                <c:pt idx="6">
                  <c:v>1</c:v>
                </c:pt>
                <c:pt idx="7">
                  <c:v>1</c:v>
                </c:pt>
                <c:pt idx="8">
                  <c:v>1</c:v>
                </c:pt>
                <c:pt idx="9">
                  <c:v>1</c:v>
                </c:pt>
                <c:pt idx="10">
                  <c:v>1</c:v>
                </c:pt>
                <c:pt idx="11">
                  <c:v>1</c:v>
                </c:pt>
                <c:pt idx="12">
                  <c:v>1</c:v>
                </c:pt>
                <c:pt idx="13">
                  <c:v>1</c:v>
                </c:pt>
                <c:pt idx="14">
                  <c:v>1</c:v>
                </c:pt>
                <c:pt idx="15">
                  <c:v>1</c:v>
                </c:pt>
                <c:pt idx="16">
                  <c:v>1</c:v>
                </c:pt>
                <c:pt idx="17">
                  <c:v>1</c:v>
                </c:pt>
              </c:numCache>
            </c:numRef>
          </c:val>
          <c:smooth val="0"/>
          <c:extLst>
            <c:ext xmlns:c16="http://schemas.microsoft.com/office/drawing/2014/chart" uri="{C3380CC4-5D6E-409C-BE32-E72D297353CC}">
              <c16:uniqueId val="{00000003-6CB2-4B18-AB0E-60C0ADA6A14D}"/>
            </c:ext>
          </c:extLst>
        </c:ser>
        <c:ser>
          <c:idx val="5"/>
          <c:order val="4"/>
          <c:tx>
            <c:v>Températures élevées</c:v>
          </c:tx>
          <c:spPr>
            <a:ln w="127000">
              <a:solidFill>
                <a:srgbClr val="FF0000"/>
              </a:solidFill>
            </a:ln>
          </c:spPr>
          <c:marker>
            <c:symbol val="none"/>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colonie'!$L$255:$L$278</c:f>
              <c:numCache>
                <c:formatCode>General</c:formatCode>
                <c:ptCount val="24"/>
              </c:numCache>
            </c:numRef>
          </c:val>
          <c:smooth val="0"/>
          <c:extLst>
            <c:ext xmlns:c16="http://schemas.microsoft.com/office/drawing/2014/chart" uri="{C3380CC4-5D6E-409C-BE32-E72D297353CC}">
              <c16:uniqueId val="{00000004-6CB2-4B18-AB0E-60C0ADA6A14D}"/>
            </c:ext>
          </c:extLst>
        </c:ser>
        <c:ser>
          <c:idx val="6"/>
          <c:order val="5"/>
          <c:tx>
            <c:v>Couvain de mâles</c:v>
          </c:tx>
          <c:spPr>
            <a:ln>
              <a:solidFill>
                <a:srgbClr val="C00000"/>
              </a:solidFill>
              <a:prstDash val="sysDot"/>
            </a:ln>
          </c:spPr>
          <c:marker>
            <c:symbol val="none"/>
          </c:marker>
          <c:cat>
            <c:numRef>
              <c:f>'Profils de colonie'!$E$255:$E$278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colonie'!$O$255:$O$278</c:f>
              <c:numCache>
                <c:formatCode>General</c:formatCode>
                <c:ptCount val="24"/>
                <c:pt idx="0">
                  <c:v>0</c:v>
                </c:pt>
                <c:pt idx="1">
                  <c:v>0</c:v>
                </c:pt>
                <c:pt idx="2">
                  <c:v>0</c:v>
                </c:pt>
                <c:pt idx="3">
                  <c:v>0</c:v>
                </c:pt>
                <c:pt idx="4">
                  <c:v>0</c:v>
                </c:pt>
                <c:pt idx="5">
                  <c:v>0</c:v>
                </c:pt>
                <c:pt idx="6">
                  <c:v>0</c:v>
                </c:pt>
                <c:pt idx="7">
                  <c:v>0</c:v>
                </c:pt>
                <c:pt idx="8">
                  <c:v>0</c:v>
                </c:pt>
                <c:pt idx="9">
                  <c:v>5</c:v>
                </c:pt>
                <c:pt idx="10">
                  <c:v>5</c:v>
                </c:pt>
                <c:pt idx="11">
                  <c:v>5</c:v>
                </c:pt>
                <c:pt idx="12">
                  <c:v>5</c:v>
                </c:pt>
                <c:pt idx="13">
                  <c:v>5</c:v>
                </c:pt>
                <c:pt idx="14">
                  <c:v>5</c:v>
                </c:pt>
                <c:pt idx="15">
                  <c:v>5</c:v>
                </c:pt>
                <c:pt idx="16">
                  <c:v>2</c:v>
                </c:pt>
                <c:pt idx="17">
                  <c:v>2</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5-6CB2-4B18-AB0E-60C0ADA6A14D}"/>
            </c:ext>
          </c:extLst>
        </c:ser>
        <c:dLbls>
          <c:showLegendKey val="0"/>
          <c:showVal val="0"/>
          <c:showCatName val="0"/>
          <c:showSerName val="0"/>
          <c:showPercent val="0"/>
          <c:showBubbleSize val="0"/>
        </c:dLbls>
        <c:marker val="1"/>
        <c:smooth val="0"/>
        <c:axId val="416322688"/>
        <c:axId val="416312320"/>
      </c:lineChart>
      <c:dateAx>
        <c:axId val="416296320"/>
        <c:scaling>
          <c:orientation val="minMax"/>
        </c:scaling>
        <c:delete val="0"/>
        <c:axPos val="b"/>
        <c:numFmt formatCode="[$-40C]d\-mmm;@" sourceLinked="1"/>
        <c:majorTickMark val="cross"/>
        <c:minorTickMark val="none"/>
        <c:tickLblPos val="nextTo"/>
        <c:txPr>
          <a:bodyPr/>
          <a:lstStyle/>
          <a:p>
            <a:pPr>
              <a:defRPr b="1" lang="fr-FR"/>
            </a:pPr>
            <a:endParaRPr lang="fr-FR"/>
          </a:p>
        </c:txPr>
        <c:crossAx val="416310400"/>
        <c:crosses val="autoZero"/>
        <c:auto val="1"/>
        <c:lblOffset val="100"/>
        <c:baseTimeUnit val="days"/>
      </c:dateAx>
      <c:valAx>
        <c:axId val="416310400"/>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296320"/>
        <c:crosses val="autoZero"/>
        <c:crossBetween val="between"/>
      </c:valAx>
      <c:valAx>
        <c:axId val="416312320"/>
        <c:scaling>
          <c:orientation val="minMax"/>
          <c:max val="100"/>
        </c:scaling>
        <c:delete val="0"/>
        <c:axPos val="r"/>
        <c:title>
          <c:tx>
            <c:rich>
              <a:bodyPr rot="-5400000" vert="horz"/>
              <a:lstStyle/>
              <a:p>
                <a:pPr>
                  <a:defRPr sz="1100" b="0" lang="fr-FR">
                    <a:solidFill>
                      <a:srgbClr val="FF0000"/>
                    </a:solidFill>
                  </a:defRPr>
                </a:pPr>
                <a:r>
                  <a:rPr lang="fr-FR" sz="1100" b="0">
                    <a:solidFill>
                      <a:srgbClr val="FF0000"/>
                    </a:solidFill>
                  </a:rPr>
                  <a:t xml:space="preserve">Nombre de varroas arrivant pendant la période (immigration)</a:t>
                </a:r>
              </a:p>
            </c:rich>
          </c:tx>
          <c:overlay val="0"/>
        </c:title>
        <c:numFmt formatCode="General" sourceLinked="1"/>
        <c:majorTickMark val="out"/>
        <c:minorTickMark val="none"/>
        <c:tickLblPos val="nextTo"/>
        <c:txPr>
          <a:bodyPr/>
          <a:lstStyle/>
          <a:p>
            <a:pPr>
              <a:defRPr lang="fr-FR">
                <a:solidFill>
                  <a:srgbClr val="FF0000"/>
                </a:solidFill>
              </a:defRPr>
            </a:pPr>
            <a:endParaRPr lang="fr-FR"/>
          </a:p>
        </c:txPr>
        <c:crossAx val="416322688"/>
        <c:crosses val="max"/>
        <c:crossBetween val="between"/>
      </c:valAx>
      <c:dateAx>
        <c:axId val="416322688"/>
        <c:scaling>
          <c:orientation val="minMax"/>
        </c:scaling>
        <c:delete val="1"/>
        <c:axPos val="b"/>
        <c:numFmt formatCode="[$-40C]d\-mmm;@" sourceLinked="1"/>
        <c:majorTickMark val="out"/>
        <c:minorTickMark val="none"/>
        <c:tickLblPos val="none"/>
        <c:crossAx val="416312320"/>
        <c:crosses val="autoZero"/>
        <c:auto val="1"/>
        <c:lblOffset val="100"/>
        <c:baseTimeUnit val="days"/>
        <c:majorUnit val="1"/>
        <c:minorUnit val="1"/>
      </c:dateAx>
    </c:plotArea>
    <c:legend>
      <c:legendPos val="r"/>
      <c:layout>
        <c:manualLayout>
          <c:xMode val="edge"/>
          <c:yMode val="edge"/>
          <c:x val="0.12641256799601103"/>
          <c:y val="7.7373174507032794E-2"/>
          <c:w val="0.26221505798886552"/>
          <c:h val="0.41366141732283468"/>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colonie'!$E$115:$E$138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colonie'!$M$115:$M$138</c:f>
              <c:numCache>
                <c:formatCode>General</c:formatCode>
                <c:ptCount val="24"/>
                <c:pt idx="0">
                  <c:v>14000</c:v>
                </c:pt>
                <c:pt idx="1">
                  <c:v>14000</c:v>
                </c:pt>
                <c:pt idx="2">
                  <c:v>20000</c:v>
                </c:pt>
                <c:pt idx="3">
                  <c:v>24000</c:v>
                </c:pt>
                <c:pt idx="4">
                  <c:v>24000</c:v>
                </c:pt>
                <c:pt idx="5">
                  <c:v>28000</c:v>
                </c:pt>
                <c:pt idx="6">
                  <c:v>32000</c:v>
                </c:pt>
                <c:pt idx="7">
                  <c:v>36000</c:v>
                </c:pt>
                <c:pt idx="8">
                  <c:v>36000</c:v>
                </c:pt>
                <c:pt idx="9">
                  <c:v>32000</c:v>
                </c:pt>
                <c:pt idx="10">
                  <c:v>30000</c:v>
                </c:pt>
                <c:pt idx="11">
                  <c:v>28000</c:v>
                </c:pt>
                <c:pt idx="12">
                  <c:v>26000</c:v>
                </c:pt>
                <c:pt idx="13">
                  <c:v>24000</c:v>
                </c:pt>
                <c:pt idx="14">
                  <c:v>20000</c:v>
                </c:pt>
                <c:pt idx="15">
                  <c:v>16000</c:v>
                </c:pt>
                <c:pt idx="16">
                  <c:v>14000</c:v>
                </c:pt>
                <c:pt idx="17">
                  <c:v>15000</c:v>
                </c:pt>
                <c:pt idx="18">
                  <c:v>16000</c:v>
                </c:pt>
                <c:pt idx="19">
                  <c:v>20000</c:v>
                </c:pt>
                <c:pt idx="20">
                  <c:v>20000</c:v>
                </c:pt>
                <c:pt idx="21">
                  <c:v>18000</c:v>
                </c:pt>
                <c:pt idx="22">
                  <c:v>16000</c:v>
                </c:pt>
                <c:pt idx="23">
                  <c:v>14000</c:v>
                </c:pt>
              </c:numCache>
            </c:numRef>
          </c:val>
          <c:smooth val="0"/>
          <c:extLst>
            <c:ext xmlns:c16="http://schemas.microsoft.com/office/drawing/2014/chart" uri="{C3380CC4-5D6E-409C-BE32-E72D297353CC}">
              <c16:uniqueId val="{00000000-2D8B-4D08-908A-95144218A942}"/>
            </c:ext>
          </c:extLst>
        </c:ser>
        <c:ser>
          <c:idx val="2"/>
          <c:order val="1"/>
          <c:tx>
            <c:v>Couvain total</c:v>
          </c:tx>
          <c:spPr>
            <a:ln w="38100">
              <a:solidFill>
                <a:schemeClr val="accent6">
                  <a:lumMod val="50000"/>
                </a:schemeClr>
              </a:solidFill>
              <a:prstDash val="sysDot"/>
            </a:ln>
          </c:spPr>
          <c:marker>
            <c:symbol val="none"/>
          </c:marker>
          <c:cat>
            <c:numRef>
              <c:f>'Profils de colonie'!$E$115:$E$138</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colonie'!$N$115:$N$138</c:f>
              <c:numCache>
                <c:formatCode>General</c:formatCode>
                <c:ptCount val="24"/>
                <c:pt idx="0">
                  <c:v>9000</c:v>
                </c:pt>
                <c:pt idx="1">
                  <c:v>13500</c:v>
                </c:pt>
                <c:pt idx="2">
                  <c:v>18000</c:v>
                </c:pt>
                <c:pt idx="3">
                  <c:v>22500</c:v>
                </c:pt>
                <c:pt idx="4">
                  <c:v>31500</c:v>
                </c:pt>
                <c:pt idx="5">
                  <c:v>33750</c:v>
                </c:pt>
                <c:pt idx="6">
                  <c:v>36000</c:v>
                </c:pt>
                <c:pt idx="7">
                  <c:v>31500</c:v>
                </c:pt>
                <c:pt idx="8">
                  <c:v>27000</c:v>
                </c:pt>
                <c:pt idx="9">
                  <c:v>27000</c:v>
                </c:pt>
                <c:pt idx="10">
                  <c:v>22500</c:v>
                </c:pt>
                <c:pt idx="11">
                  <c:v>18000</c:v>
                </c:pt>
                <c:pt idx="12">
                  <c:v>18000</c:v>
                </c:pt>
                <c:pt idx="13">
                  <c:v>13500</c:v>
                </c:pt>
                <c:pt idx="14">
                  <c:v>9000</c:v>
                </c:pt>
                <c:pt idx="15">
                  <c:v>9000</c:v>
                </c:pt>
                <c:pt idx="16">
                  <c:v>9000</c:v>
                </c:pt>
                <c:pt idx="17">
                  <c:v>18000</c:v>
                </c:pt>
                <c:pt idx="18">
                  <c:v>18000</c:v>
                </c:pt>
                <c:pt idx="19">
                  <c:v>13500</c:v>
                </c:pt>
                <c:pt idx="20">
                  <c:v>9000</c:v>
                </c:pt>
                <c:pt idx="21">
                  <c:v>9000</c:v>
                </c:pt>
                <c:pt idx="22">
                  <c:v>9000</c:v>
                </c:pt>
                <c:pt idx="23">
                  <c:v>9000</c:v>
                </c:pt>
              </c:numCache>
            </c:numRef>
          </c:val>
          <c:smooth val="0"/>
          <c:extLst>
            <c:ext xmlns:c16="http://schemas.microsoft.com/office/drawing/2014/chart" uri="{C3380CC4-5D6E-409C-BE32-E72D297353CC}">
              <c16:uniqueId val="{00000001-2D8B-4D08-908A-95144218A942}"/>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colonie'!$C$115:$C$138</c:f>
              <c:numCache>
                <c:formatCode>General</c:formatCode>
                <c:ptCount val="24"/>
                <c:pt idx="15">
                  <c:v>1</c:v>
                </c:pt>
                <c:pt idx="16">
                  <c:v>1</c:v>
                </c:pt>
                <c:pt idx="17">
                  <c:v>1</c:v>
                </c:pt>
              </c:numCache>
            </c:numRef>
          </c:val>
          <c:smooth val="0"/>
          <c:extLst>
            <c:ext xmlns:c16="http://schemas.microsoft.com/office/drawing/2014/chart" uri="{C3380CC4-5D6E-409C-BE32-E72D297353CC}">
              <c16:uniqueId val="{00000002-2D8B-4D08-908A-95144218A942}"/>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colonie'!$D$115:$D$138</c:f>
              <c:numCache>
                <c:formatCode>General</c:formatCode>
                <c:ptCount val="24"/>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3-2D8B-4D08-908A-95144218A942}"/>
            </c:ext>
          </c:extLst>
        </c:ser>
        <c:dLbls>
          <c:showLegendKey val="0"/>
          <c:showVal val="0"/>
          <c:showCatName val="0"/>
          <c:showSerName val="0"/>
          <c:showPercent val="0"/>
          <c:showBubbleSize val="0"/>
        </c:dLbls>
        <c:marker val="1"/>
        <c:smooth val="0"/>
        <c:axId val="416024064"/>
        <c:axId val="416025600"/>
      </c:lineChart>
      <c:dateAx>
        <c:axId val="416024064"/>
        <c:scaling>
          <c:orientation val="minMax"/>
        </c:scaling>
        <c:delete val="0"/>
        <c:axPos val="b"/>
        <c:numFmt formatCode="[$-40C]d\-mmm;@" sourceLinked="1"/>
        <c:majorTickMark val="cross"/>
        <c:minorTickMark val="none"/>
        <c:tickLblPos val="nextTo"/>
        <c:txPr>
          <a:bodyPr/>
          <a:lstStyle/>
          <a:p>
            <a:pPr>
              <a:defRPr b="1" lang="fr-FR"/>
            </a:pPr>
            <a:endParaRPr lang="fr-FR"/>
          </a:p>
        </c:txPr>
        <c:crossAx val="416025600"/>
        <c:crosses val="autoZero"/>
        <c:auto val="1"/>
        <c:lblOffset val="100"/>
        <c:baseTimeUnit val="days"/>
      </c:dateAx>
      <c:valAx>
        <c:axId val="416025600"/>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024064"/>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colonie'!$M$87:$M$110</c:f>
              <c:numCache>
                <c:formatCode>General</c:formatCode>
                <c:ptCount val="24"/>
                <c:pt idx="0">
                  <c:v>0</c:v>
                </c:pt>
                <c:pt idx="1">
                  <c:v>0</c:v>
                </c:pt>
                <c:pt idx="2">
                  <c:v>0</c:v>
                </c:pt>
                <c:pt idx="3">
                  <c:v>0</c:v>
                </c:pt>
                <c:pt idx="4">
                  <c:v>0</c:v>
                </c:pt>
                <c:pt idx="5">
                  <c:v>0</c:v>
                </c:pt>
                <c:pt idx="6">
                  <c:v>12000</c:v>
                </c:pt>
                <c:pt idx="7">
                  <c:v>10000</c:v>
                </c:pt>
                <c:pt idx="8">
                  <c:v>18000</c:v>
                </c:pt>
                <c:pt idx="9">
                  <c:v>26000</c:v>
                </c:pt>
                <c:pt idx="10">
                  <c:v>34000</c:v>
                </c:pt>
                <c:pt idx="11">
                  <c:v>42000</c:v>
                </c:pt>
                <c:pt idx="12">
                  <c:v>50000</c:v>
                </c:pt>
                <c:pt idx="13">
                  <c:v>52000</c:v>
                </c:pt>
                <c:pt idx="14">
                  <c:v>50000</c:v>
                </c:pt>
                <c:pt idx="15">
                  <c:v>40000</c:v>
                </c:pt>
                <c:pt idx="16">
                  <c:v>28000</c:v>
                </c:pt>
                <c:pt idx="17">
                  <c:v>24000</c:v>
                </c:pt>
                <c:pt idx="18">
                  <c:v>20000</c:v>
                </c:pt>
                <c:pt idx="19">
                  <c:v>18000</c:v>
                </c:pt>
                <c:pt idx="20">
                  <c:v>16000</c:v>
                </c:pt>
                <c:pt idx="21">
                  <c:v>14000</c:v>
                </c:pt>
                <c:pt idx="22">
                  <c:v>12000</c:v>
                </c:pt>
                <c:pt idx="23">
                  <c:v>12000</c:v>
                </c:pt>
              </c:numCache>
            </c:numRef>
          </c:val>
          <c:smooth val="0"/>
          <c:extLst>
            <c:ext xmlns:c16="http://schemas.microsoft.com/office/drawing/2014/chart" uri="{C3380CC4-5D6E-409C-BE32-E72D297353CC}">
              <c16:uniqueId val="{00000000-9930-4463-A98B-8AA69CDC8A8E}"/>
            </c:ext>
          </c:extLst>
        </c:ser>
        <c:ser>
          <c:idx val="2"/>
          <c:order val="1"/>
          <c:tx>
            <c:v>Couvain total</c:v>
          </c:tx>
          <c:spPr>
            <a:ln w="38100">
              <a:solidFill>
                <a:schemeClr val="accent6">
                  <a:lumMod val="50000"/>
                </a:schemeClr>
              </a:solidFill>
              <a:prstDash val="sysDot"/>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colonie'!$N$87:$N$110</c:f>
              <c:numCache>
                <c:formatCode>General</c:formatCode>
                <c:ptCount val="24"/>
                <c:pt idx="0">
                  <c:v>0</c:v>
                </c:pt>
                <c:pt idx="1">
                  <c:v>0</c:v>
                </c:pt>
                <c:pt idx="2">
                  <c:v>0</c:v>
                </c:pt>
                <c:pt idx="3">
                  <c:v>0</c:v>
                </c:pt>
                <c:pt idx="4">
                  <c:v>0</c:v>
                </c:pt>
                <c:pt idx="5">
                  <c:v>0</c:v>
                </c:pt>
                <c:pt idx="6">
                  <c:v>0</c:v>
                </c:pt>
                <c:pt idx="7">
                  <c:v>13500</c:v>
                </c:pt>
                <c:pt idx="8">
                  <c:v>18000</c:v>
                </c:pt>
                <c:pt idx="9">
                  <c:v>31500</c:v>
                </c:pt>
                <c:pt idx="10">
                  <c:v>36000</c:v>
                </c:pt>
                <c:pt idx="11">
                  <c:v>36000</c:v>
                </c:pt>
                <c:pt idx="12">
                  <c:v>36000</c:v>
                </c:pt>
                <c:pt idx="13">
                  <c:v>22500</c:v>
                </c:pt>
                <c:pt idx="14">
                  <c:v>20250</c:v>
                </c:pt>
                <c:pt idx="15">
                  <c:v>18000</c:v>
                </c:pt>
                <c:pt idx="16">
                  <c:v>15750</c:v>
                </c:pt>
                <c:pt idx="17">
                  <c:v>18000</c:v>
                </c:pt>
                <c:pt idx="18">
                  <c:v>13500</c:v>
                </c:pt>
                <c:pt idx="19">
                  <c:v>9000</c:v>
                </c:pt>
                <c:pt idx="20">
                  <c:v>4500</c:v>
                </c:pt>
                <c:pt idx="21">
                  <c:v>0</c:v>
                </c:pt>
                <c:pt idx="22">
                  <c:v>0</c:v>
                </c:pt>
                <c:pt idx="23">
                  <c:v>0</c:v>
                </c:pt>
              </c:numCache>
            </c:numRef>
          </c:val>
          <c:smooth val="0"/>
          <c:extLst>
            <c:ext xmlns:c16="http://schemas.microsoft.com/office/drawing/2014/chart" uri="{C3380CC4-5D6E-409C-BE32-E72D297353CC}">
              <c16:uniqueId val="{00000001-9930-4463-A98B-8AA69CDC8A8E}"/>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colonie'!$C$87:$C$110</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9930-4463-A98B-8AA69CDC8A8E}"/>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colonie'!$D$87:$D$110</c:f>
              <c:numCache>
                <c:formatCode>General</c:formatCode>
                <c:ptCount val="24"/>
                <c:pt idx="6">
                  <c:v>1</c:v>
                </c:pt>
                <c:pt idx="7">
                  <c:v>1</c:v>
                </c:pt>
                <c:pt idx="8">
                  <c:v>1</c:v>
                </c:pt>
                <c:pt idx="9">
                  <c:v>1</c:v>
                </c:pt>
                <c:pt idx="10">
                  <c:v>1</c:v>
                </c:pt>
                <c:pt idx="11">
                  <c:v>1</c:v>
                </c:pt>
                <c:pt idx="12">
                  <c:v>1</c:v>
                </c:pt>
                <c:pt idx="13">
                  <c:v>1</c:v>
                </c:pt>
                <c:pt idx="14">
                  <c:v>1</c:v>
                </c:pt>
                <c:pt idx="15">
                  <c:v>1</c:v>
                </c:pt>
              </c:numCache>
            </c:numRef>
          </c:val>
          <c:smooth val="0"/>
          <c:extLst>
            <c:ext xmlns:c16="http://schemas.microsoft.com/office/drawing/2014/chart" uri="{C3380CC4-5D6E-409C-BE32-E72D297353CC}">
              <c16:uniqueId val="{00000003-9930-4463-A98B-8AA69CDC8A8E}"/>
            </c:ext>
          </c:extLst>
        </c:ser>
        <c:dLbls>
          <c:showLegendKey val="0"/>
          <c:showVal val="0"/>
          <c:showCatName val="0"/>
          <c:showSerName val="0"/>
          <c:showPercent val="0"/>
          <c:showBubbleSize val="0"/>
        </c:dLbls>
        <c:marker val="1"/>
        <c:smooth val="0"/>
        <c:axId val="416073216"/>
        <c:axId val="416074752"/>
      </c:lineChart>
      <c:dateAx>
        <c:axId val="416073216"/>
        <c:scaling>
          <c:orientation val="minMax"/>
        </c:scaling>
        <c:delete val="0"/>
        <c:axPos val="b"/>
        <c:numFmt formatCode="[$-40C]d\-mmm;@" sourceLinked="1"/>
        <c:majorTickMark val="cross"/>
        <c:minorTickMark val="none"/>
        <c:tickLblPos val="nextTo"/>
        <c:txPr>
          <a:bodyPr/>
          <a:lstStyle/>
          <a:p>
            <a:pPr>
              <a:defRPr b="1" lang="fr-FR"/>
            </a:pPr>
            <a:endParaRPr lang="fr-FR"/>
          </a:p>
        </c:txPr>
        <c:crossAx val="416074752"/>
        <c:crosses val="autoZero"/>
        <c:auto val="1"/>
        <c:lblOffset val="100"/>
        <c:baseTimeUnit val="days"/>
      </c:dateAx>
      <c:valAx>
        <c:axId val="416074752"/>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073216"/>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colonie'!$M$59:$M$82</c:f>
              <c:numCache>
                <c:formatCode>General</c:formatCode>
                <c:ptCount val="24"/>
                <c:pt idx="0">
                  <c:v>0</c:v>
                </c:pt>
                <c:pt idx="1">
                  <c:v>0</c:v>
                </c:pt>
                <c:pt idx="2">
                  <c:v>0</c:v>
                </c:pt>
                <c:pt idx="3">
                  <c:v>0</c:v>
                </c:pt>
                <c:pt idx="4">
                  <c:v>0</c:v>
                </c:pt>
                <c:pt idx="5">
                  <c:v>0</c:v>
                </c:pt>
                <c:pt idx="6">
                  <c:v>10000</c:v>
                </c:pt>
                <c:pt idx="7">
                  <c:v>14000</c:v>
                </c:pt>
                <c:pt idx="8">
                  <c:v>20000</c:v>
                </c:pt>
                <c:pt idx="9">
                  <c:v>26000</c:v>
                </c:pt>
                <c:pt idx="10">
                  <c:v>32000</c:v>
                </c:pt>
                <c:pt idx="11">
                  <c:v>38000</c:v>
                </c:pt>
                <c:pt idx="12">
                  <c:v>46000</c:v>
                </c:pt>
                <c:pt idx="13">
                  <c:v>48000</c:v>
                </c:pt>
                <c:pt idx="14">
                  <c:v>46000</c:v>
                </c:pt>
                <c:pt idx="15">
                  <c:v>40000</c:v>
                </c:pt>
                <c:pt idx="16">
                  <c:v>28000</c:v>
                </c:pt>
                <c:pt idx="17">
                  <c:v>24000</c:v>
                </c:pt>
                <c:pt idx="18">
                  <c:v>20000</c:v>
                </c:pt>
                <c:pt idx="19">
                  <c:v>18000</c:v>
                </c:pt>
                <c:pt idx="20">
                  <c:v>16000</c:v>
                </c:pt>
                <c:pt idx="21">
                  <c:v>14000</c:v>
                </c:pt>
                <c:pt idx="22">
                  <c:v>12000</c:v>
                </c:pt>
                <c:pt idx="23">
                  <c:v>12000</c:v>
                </c:pt>
              </c:numCache>
            </c:numRef>
          </c:val>
          <c:smooth val="0"/>
          <c:extLst>
            <c:ext xmlns:c16="http://schemas.microsoft.com/office/drawing/2014/chart" uri="{C3380CC4-5D6E-409C-BE32-E72D297353CC}">
              <c16:uniqueId val="{00000000-C1B4-4CA0-8AA3-189B29A9DD8B}"/>
            </c:ext>
          </c:extLst>
        </c:ser>
        <c:ser>
          <c:idx val="2"/>
          <c:order val="1"/>
          <c:tx>
            <c:v>Couvain total</c:v>
          </c:tx>
          <c:spPr>
            <a:ln w="38100">
              <a:solidFill>
                <a:schemeClr val="accent6">
                  <a:lumMod val="50000"/>
                </a:schemeClr>
              </a:solidFill>
              <a:prstDash val="sysDot"/>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colonie'!$N$59:$N$82</c:f>
              <c:numCache>
                <c:formatCode>General</c:formatCode>
                <c:ptCount val="24"/>
                <c:pt idx="0">
                  <c:v>0</c:v>
                </c:pt>
                <c:pt idx="1">
                  <c:v>0</c:v>
                </c:pt>
                <c:pt idx="2">
                  <c:v>0</c:v>
                </c:pt>
                <c:pt idx="3">
                  <c:v>0</c:v>
                </c:pt>
                <c:pt idx="4">
                  <c:v>0</c:v>
                </c:pt>
                <c:pt idx="5">
                  <c:v>0</c:v>
                </c:pt>
                <c:pt idx="6">
                  <c:v>11250</c:v>
                </c:pt>
                <c:pt idx="7">
                  <c:v>22500</c:v>
                </c:pt>
                <c:pt idx="8">
                  <c:v>27000</c:v>
                </c:pt>
                <c:pt idx="9">
                  <c:v>31500</c:v>
                </c:pt>
                <c:pt idx="10">
                  <c:v>36000</c:v>
                </c:pt>
                <c:pt idx="11">
                  <c:v>36000</c:v>
                </c:pt>
                <c:pt idx="12">
                  <c:v>27000</c:v>
                </c:pt>
                <c:pt idx="13">
                  <c:v>22500</c:v>
                </c:pt>
                <c:pt idx="14">
                  <c:v>20250</c:v>
                </c:pt>
                <c:pt idx="15">
                  <c:v>18000</c:v>
                </c:pt>
                <c:pt idx="16">
                  <c:v>15750</c:v>
                </c:pt>
                <c:pt idx="17">
                  <c:v>18000</c:v>
                </c:pt>
                <c:pt idx="18">
                  <c:v>13500</c:v>
                </c:pt>
                <c:pt idx="19">
                  <c:v>9000</c:v>
                </c:pt>
                <c:pt idx="20">
                  <c:v>4500</c:v>
                </c:pt>
                <c:pt idx="21">
                  <c:v>0</c:v>
                </c:pt>
                <c:pt idx="22">
                  <c:v>0</c:v>
                </c:pt>
                <c:pt idx="23">
                  <c:v>0</c:v>
                </c:pt>
              </c:numCache>
            </c:numRef>
          </c:val>
          <c:smooth val="0"/>
          <c:extLst>
            <c:ext xmlns:c16="http://schemas.microsoft.com/office/drawing/2014/chart" uri="{C3380CC4-5D6E-409C-BE32-E72D297353CC}">
              <c16:uniqueId val="{00000001-C1B4-4CA0-8AA3-189B29A9DD8B}"/>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colonie'!$C$59:$C$82</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C1B4-4CA0-8AA3-189B29A9DD8B}"/>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colonie'!$D$31:$D$54</c:f>
              <c:numCache>
                <c:formatCode>General</c:formatCode>
                <c:ptCount val="24"/>
                <c:pt idx="6">
                  <c:v>1</c:v>
                </c:pt>
                <c:pt idx="7">
                  <c:v>1</c:v>
                </c:pt>
                <c:pt idx="8">
                  <c:v>1</c:v>
                </c:pt>
                <c:pt idx="9">
                  <c:v>1</c:v>
                </c:pt>
                <c:pt idx="10">
                  <c:v>1</c:v>
                </c:pt>
                <c:pt idx="11">
                  <c:v>1</c:v>
                </c:pt>
                <c:pt idx="12">
                  <c:v>1</c:v>
                </c:pt>
                <c:pt idx="13">
                  <c:v>1</c:v>
                </c:pt>
                <c:pt idx="14">
                  <c:v>1</c:v>
                </c:pt>
                <c:pt idx="15">
                  <c:v>1</c:v>
                </c:pt>
              </c:numCache>
            </c:numRef>
          </c:val>
          <c:smooth val="0"/>
          <c:extLst>
            <c:ext xmlns:c16="http://schemas.microsoft.com/office/drawing/2014/chart" uri="{C3380CC4-5D6E-409C-BE32-E72D297353CC}">
              <c16:uniqueId val="{00000003-C1B4-4CA0-8AA3-189B29A9DD8B}"/>
            </c:ext>
          </c:extLst>
        </c:ser>
        <c:dLbls>
          <c:showLegendKey val="0"/>
          <c:showVal val="0"/>
          <c:showCatName val="0"/>
          <c:showSerName val="0"/>
          <c:showPercent val="0"/>
          <c:showBubbleSize val="0"/>
        </c:dLbls>
        <c:marker val="1"/>
        <c:smooth val="0"/>
        <c:axId val="416118272"/>
        <c:axId val="416119808"/>
      </c:lineChart>
      <c:dateAx>
        <c:axId val="416118272"/>
        <c:scaling>
          <c:orientation val="minMax"/>
        </c:scaling>
        <c:delete val="0"/>
        <c:axPos val="b"/>
        <c:numFmt formatCode="[$-40C]d\-mmm;@" sourceLinked="1"/>
        <c:majorTickMark val="cross"/>
        <c:minorTickMark val="none"/>
        <c:tickLblPos val="nextTo"/>
        <c:txPr>
          <a:bodyPr/>
          <a:lstStyle/>
          <a:p>
            <a:pPr>
              <a:defRPr b="1" lang="fr-FR"/>
            </a:pPr>
            <a:endParaRPr lang="fr-FR"/>
          </a:p>
        </c:txPr>
        <c:crossAx val="416119808"/>
        <c:crosses val="autoZero"/>
        <c:auto val="1"/>
        <c:lblOffset val="100"/>
        <c:baseTimeUnit val="days"/>
      </c:dateAx>
      <c:valAx>
        <c:axId val="416119808"/>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118272"/>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colonie'!$M$31:$M$54</c:f>
              <c:numCache>
                <c:formatCode>General</c:formatCode>
                <c:ptCount val="24"/>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8">
                  <c:v>30000</c:v>
                </c:pt>
                <c:pt idx="19">
                  <c:v>24000</c:v>
                </c:pt>
                <c:pt idx="20">
                  <c:v>18000</c:v>
                </c:pt>
                <c:pt idx="21">
                  <c:v>17000</c:v>
                </c:pt>
                <c:pt idx="22">
                  <c:v>16500</c:v>
                </c:pt>
                <c:pt idx="23">
                  <c:v>16000</c:v>
                </c:pt>
              </c:numCache>
            </c:numRef>
          </c:val>
          <c:smooth val="0"/>
          <c:extLst>
            <c:ext xmlns:c16="http://schemas.microsoft.com/office/drawing/2014/chart" uri="{C3380CC4-5D6E-409C-BE32-E72D297353CC}">
              <c16:uniqueId val="{00000000-D06F-4892-85B4-2ADCE07A698B}"/>
            </c:ext>
          </c:extLst>
        </c:ser>
        <c:ser>
          <c:idx val="2"/>
          <c:order val="1"/>
          <c:tx>
            <c:v>Couvain total</c:v>
          </c:tx>
          <c:spPr>
            <a:ln w="38100">
              <a:solidFill>
                <a:schemeClr val="accent6">
                  <a:lumMod val="50000"/>
                </a:schemeClr>
              </a:solidFill>
              <a:prstDash val="sysDot"/>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colonie'!$N$31:$N$54</c:f>
              <c:numCache>
                <c:formatCode>General</c:formatCode>
                <c:ptCount val="24"/>
                <c:pt idx="0">
                  <c:v>0</c:v>
                </c:pt>
                <c:pt idx="1">
                  <c:v>1125</c:v>
                </c:pt>
                <c:pt idx="2">
                  <c:v>1485</c:v>
                </c:pt>
                <c:pt idx="3">
                  <c:v>3375</c:v>
                </c:pt>
                <c:pt idx="4">
                  <c:v>4500</c:v>
                </c:pt>
                <c:pt idx="5">
                  <c:v>9000</c:v>
                </c:pt>
                <c:pt idx="6">
                  <c:v>13500</c:v>
                </c:pt>
                <c:pt idx="7">
                  <c:v>22500</c:v>
                </c:pt>
                <c:pt idx="8">
                  <c:v>27000</c:v>
                </c:pt>
                <c:pt idx="9">
                  <c:v>29250</c:v>
                </c:pt>
                <c:pt idx="10">
                  <c:v>31500</c:v>
                </c:pt>
                <c:pt idx="11">
                  <c:v>29250</c:v>
                </c:pt>
                <c:pt idx="12">
                  <c:v>27000</c:v>
                </c:pt>
                <c:pt idx="13">
                  <c:v>22500</c:v>
                </c:pt>
                <c:pt idx="14">
                  <c:v>20250</c:v>
                </c:pt>
                <c:pt idx="15">
                  <c:v>18000</c:v>
                </c:pt>
                <c:pt idx="16">
                  <c:v>15750</c:v>
                </c:pt>
                <c:pt idx="17">
                  <c:v>18000</c:v>
                </c:pt>
                <c:pt idx="18">
                  <c:v>9000</c:v>
                </c:pt>
                <c:pt idx="19">
                  <c:v>2250</c:v>
                </c:pt>
                <c:pt idx="20">
                  <c:v>1125</c:v>
                </c:pt>
                <c:pt idx="21">
                  <c:v>562.5</c:v>
                </c:pt>
                <c:pt idx="22">
                  <c:v>450</c:v>
                </c:pt>
                <c:pt idx="23">
                  <c:v>0</c:v>
                </c:pt>
              </c:numCache>
            </c:numRef>
          </c:val>
          <c:smooth val="0"/>
          <c:extLst>
            <c:ext xmlns:c16="http://schemas.microsoft.com/office/drawing/2014/chart" uri="{C3380CC4-5D6E-409C-BE32-E72D297353CC}">
              <c16:uniqueId val="{00000001-D06F-4892-85B4-2ADCE07A698B}"/>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colonie'!$C$31:$C$54</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D06F-4892-85B4-2ADCE07A698B}"/>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colonie'!$D$31:$D$54</c:f>
              <c:numCache>
                <c:formatCode>General</c:formatCode>
                <c:ptCount val="24"/>
                <c:pt idx="6">
                  <c:v>1</c:v>
                </c:pt>
                <c:pt idx="7">
                  <c:v>1</c:v>
                </c:pt>
                <c:pt idx="8">
                  <c:v>1</c:v>
                </c:pt>
                <c:pt idx="9">
                  <c:v>1</c:v>
                </c:pt>
                <c:pt idx="10">
                  <c:v>1</c:v>
                </c:pt>
                <c:pt idx="11">
                  <c:v>1</c:v>
                </c:pt>
                <c:pt idx="12">
                  <c:v>1</c:v>
                </c:pt>
                <c:pt idx="13">
                  <c:v>1</c:v>
                </c:pt>
                <c:pt idx="14">
                  <c:v>1</c:v>
                </c:pt>
                <c:pt idx="15">
                  <c:v>1</c:v>
                </c:pt>
              </c:numCache>
            </c:numRef>
          </c:val>
          <c:smooth val="0"/>
          <c:extLst>
            <c:ext xmlns:c16="http://schemas.microsoft.com/office/drawing/2014/chart" uri="{C3380CC4-5D6E-409C-BE32-E72D297353CC}">
              <c16:uniqueId val="{00000003-D06F-4892-85B4-2ADCE07A698B}"/>
            </c:ext>
          </c:extLst>
        </c:ser>
        <c:dLbls>
          <c:showLegendKey val="0"/>
          <c:showVal val="0"/>
          <c:showCatName val="0"/>
          <c:showSerName val="0"/>
          <c:showPercent val="0"/>
          <c:showBubbleSize val="0"/>
        </c:dLbls>
        <c:marker val="1"/>
        <c:smooth val="0"/>
        <c:axId val="416163712"/>
        <c:axId val="416165248"/>
      </c:lineChart>
      <c:dateAx>
        <c:axId val="416163712"/>
        <c:scaling>
          <c:orientation val="minMax"/>
        </c:scaling>
        <c:delete val="0"/>
        <c:axPos val="b"/>
        <c:numFmt formatCode="[$-40C]d\-mmm;@" sourceLinked="1"/>
        <c:majorTickMark val="cross"/>
        <c:minorTickMark val="none"/>
        <c:tickLblPos val="nextTo"/>
        <c:txPr>
          <a:bodyPr/>
          <a:lstStyle/>
          <a:p>
            <a:pPr>
              <a:defRPr b="1" lang="fr-FR"/>
            </a:pPr>
            <a:endParaRPr lang="fr-FR"/>
          </a:p>
        </c:txPr>
        <c:crossAx val="416165248"/>
        <c:crosses val="autoZero"/>
        <c:auto val="1"/>
        <c:lblOffset val="100"/>
        <c:baseTimeUnit val="days"/>
      </c:dateAx>
      <c:valAx>
        <c:axId val="416165248"/>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163712"/>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51751742301969"/>
          <c:y val="4.3667727374786122E-2"/>
          <c:w val="0.77464173422335103"/>
          <c:h val="0.8635514431263015"/>
        </c:manualLayout>
      </c:layout>
      <c:lineChart>
        <c:grouping val="standard"/>
        <c:varyColors val="0"/>
        <c:ser>
          <c:idx val="1"/>
          <c:order val="0"/>
          <c:tx>
            <c:v>Population d’abeilles adultes</c:v>
          </c:tx>
          <c:spPr>
            <a:ln>
              <a:solidFill>
                <a:srgbClr val="FFC000"/>
              </a:solidFill>
            </a:ln>
          </c:spPr>
          <c:marker>
            <c:symbol val="circle"/>
            <c:size val="5"/>
            <c:spPr>
              <a:solidFill>
                <a:srgbClr val="FFC000"/>
              </a:solidFill>
              <a:ln>
                <a:noFill/>
              </a:ln>
            </c:spPr>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colonie'!$M$227:$M$250</c:f>
              <c:numCache>
                <c:formatCode>General</c:formatCode>
                <c:ptCount val="24"/>
                <c:pt idx="0">
                  <c:v>16000</c:v>
                </c:pt>
                <c:pt idx="1">
                  <c:v>16000</c:v>
                </c:pt>
                <c:pt idx="2">
                  <c:v>16000</c:v>
                </c:pt>
                <c:pt idx="3">
                  <c:v>14000</c:v>
                </c:pt>
                <c:pt idx="4">
                  <c:v>14000</c:v>
                </c:pt>
                <c:pt idx="5">
                  <c:v>12000</c:v>
                </c:pt>
                <c:pt idx="6">
                  <c:v>12000</c:v>
                </c:pt>
                <c:pt idx="7">
                  <c:v>16000</c:v>
                </c:pt>
                <c:pt idx="8">
                  <c:v>20000</c:v>
                </c:pt>
                <c:pt idx="9">
                  <c:v>28000</c:v>
                </c:pt>
                <c:pt idx="10">
                  <c:v>16000</c:v>
                </c:pt>
                <c:pt idx="11">
                  <c:v>24000</c:v>
                </c:pt>
                <c:pt idx="12">
                  <c:v>32000</c:v>
                </c:pt>
                <c:pt idx="13">
                  <c:v>42000</c:v>
                </c:pt>
                <c:pt idx="14">
                  <c:v>44000</c:v>
                </c:pt>
                <c:pt idx="15">
                  <c:v>44000</c:v>
                </c:pt>
                <c:pt idx="16">
                  <c:v>38000</c:v>
                </c:pt>
                <c:pt idx="17">
                  <c:v>32000</c:v>
                </c:pt>
                <c:pt idx="18">
                  <c:v>30000</c:v>
                </c:pt>
                <c:pt idx="19">
                  <c:v>24000</c:v>
                </c:pt>
                <c:pt idx="20">
                  <c:v>16000</c:v>
                </c:pt>
                <c:pt idx="21">
                  <c:v>14000</c:v>
                </c:pt>
                <c:pt idx="22">
                  <c:v>14000</c:v>
                </c:pt>
                <c:pt idx="23">
                  <c:v>14000</c:v>
                </c:pt>
              </c:numCache>
            </c:numRef>
          </c:val>
          <c:smooth val="0"/>
          <c:extLst>
            <c:ext xmlns:c16="http://schemas.microsoft.com/office/drawing/2014/chart" uri="{C3380CC4-5D6E-409C-BE32-E72D297353CC}">
              <c16:uniqueId val="{00000000-06A3-48B1-A1F5-4060062656F3}"/>
            </c:ext>
          </c:extLst>
        </c:ser>
        <c:ser>
          <c:idx val="2"/>
          <c:order val="1"/>
          <c:tx>
            <c:v>Couvain total</c:v>
          </c:tx>
          <c:spPr>
            <a:ln w="38100">
              <a:solidFill>
                <a:schemeClr val="accent6">
                  <a:lumMod val="50000"/>
                </a:schemeClr>
              </a:solidFill>
              <a:prstDash val="sysDot"/>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colonie'!$N$227:$N$249</c:f>
              <c:numCache>
                <c:formatCode>General</c:formatCode>
                <c:ptCount val="23"/>
                <c:pt idx="0">
                  <c:v>0</c:v>
                </c:pt>
                <c:pt idx="1">
                  <c:v>1125</c:v>
                </c:pt>
                <c:pt idx="2">
                  <c:v>2250</c:v>
                </c:pt>
                <c:pt idx="3">
                  <c:v>2250</c:v>
                </c:pt>
                <c:pt idx="4">
                  <c:v>4500</c:v>
                </c:pt>
                <c:pt idx="5">
                  <c:v>9000</c:v>
                </c:pt>
                <c:pt idx="6">
                  <c:v>13500</c:v>
                </c:pt>
                <c:pt idx="7">
                  <c:v>22500</c:v>
                </c:pt>
                <c:pt idx="8">
                  <c:v>31500</c:v>
                </c:pt>
                <c:pt idx="9">
                  <c:v>9000</c:v>
                </c:pt>
                <c:pt idx="10">
                  <c:v>27000</c:v>
                </c:pt>
                <c:pt idx="11">
                  <c:v>27000</c:v>
                </c:pt>
                <c:pt idx="12">
                  <c:v>24750</c:v>
                </c:pt>
                <c:pt idx="13">
                  <c:v>22500</c:v>
                </c:pt>
                <c:pt idx="14">
                  <c:v>20250</c:v>
                </c:pt>
                <c:pt idx="15">
                  <c:v>18000</c:v>
                </c:pt>
                <c:pt idx="16">
                  <c:v>15750</c:v>
                </c:pt>
                <c:pt idx="17">
                  <c:v>18000</c:v>
                </c:pt>
                <c:pt idx="18">
                  <c:v>9000</c:v>
                </c:pt>
                <c:pt idx="19">
                  <c:v>2250</c:v>
                </c:pt>
                <c:pt idx="20">
                  <c:v>0</c:v>
                </c:pt>
                <c:pt idx="21">
                  <c:v>0</c:v>
                </c:pt>
                <c:pt idx="22">
                  <c:v>0</c:v>
                </c:pt>
              </c:numCache>
            </c:numRef>
          </c:val>
          <c:smooth val="0"/>
          <c:extLst>
            <c:ext xmlns:c16="http://schemas.microsoft.com/office/drawing/2014/chart" uri="{C3380CC4-5D6E-409C-BE32-E72D297353CC}">
              <c16:uniqueId val="{00000001-06A3-48B1-A1F5-4060062656F3}"/>
            </c:ext>
          </c:extLst>
        </c:ser>
        <c:ser>
          <c:idx val="0"/>
          <c:order val="2"/>
          <c:tx>
            <c:v>Températures basses</c:v>
          </c:tx>
          <c:spPr>
            <a:ln w="127000"/>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colonie'!$C$31:$C$54</c:f>
              <c:numCache>
                <c:formatCode>General</c:formatCode>
                <c:ptCount val="24"/>
                <c:pt idx="0">
                  <c:v>1</c:v>
                </c:pt>
                <c:pt idx="1">
                  <c:v>1</c:v>
                </c:pt>
                <c:pt idx="2">
                  <c:v>1</c:v>
                </c:pt>
                <c:pt idx="3">
                  <c:v>1</c:v>
                </c:pt>
                <c:pt idx="4">
                  <c:v>1</c:v>
                </c:pt>
                <c:pt idx="5">
                  <c:v>1</c:v>
                </c:pt>
                <c:pt idx="18">
                  <c:v>1</c:v>
                </c:pt>
                <c:pt idx="19">
                  <c:v>1</c:v>
                </c:pt>
                <c:pt idx="20">
                  <c:v>1</c:v>
                </c:pt>
                <c:pt idx="21">
                  <c:v>1</c:v>
                </c:pt>
                <c:pt idx="22">
                  <c:v>1</c:v>
                </c:pt>
                <c:pt idx="23">
                  <c:v>1</c:v>
                </c:pt>
              </c:numCache>
            </c:numRef>
          </c:val>
          <c:smooth val="0"/>
          <c:extLst>
            <c:ext xmlns:c16="http://schemas.microsoft.com/office/drawing/2014/chart" uri="{C3380CC4-5D6E-409C-BE32-E72D297353CC}">
              <c16:uniqueId val="{00000002-06A3-48B1-A1F5-4060062656F3}"/>
            </c:ext>
          </c:extLst>
        </c:ser>
        <c:ser>
          <c:idx val="4"/>
          <c:order val="3"/>
          <c:tx>
            <c:v>Apports de pollen</c:v>
          </c:tx>
          <c:spPr>
            <a:ln w="127000">
              <a:solidFill>
                <a:srgbClr val="FFC000"/>
              </a:solidFill>
            </a:ln>
          </c:spPr>
          <c:marker>
            <c:symbol val="none"/>
          </c:marker>
          <c:cat>
            <c:numRef>
              <c:f>'Profils de colonie'!$E$31:$E$54</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'Profils de colonie'!$D$31:$D$54</c:f>
              <c:numCache>
                <c:formatCode>General</c:formatCode>
                <c:ptCount val="24"/>
                <c:pt idx="6">
                  <c:v>1</c:v>
                </c:pt>
                <c:pt idx="7">
                  <c:v>1</c:v>
                </c:pt>
                <c:pt idx="8">
                  <c:v>1</c:v>
                </c:pt>
                <c:pt idx="9">
                  <c:v>1</c:v>
                </c:pt>
                <c:pt idx="10">
                  <c:v>1</c:v>
                </c:pt>
                <c:pt idx="11">
                  <c:v>1</c:v>
                </c:pt>
                <c:pt idx="12">
                  <c:v>1</c:v>
                </c:pt>
                <c:pt idx="13">
                  <c:v>1</c:v>
                </c:pt>
                <c:pt idx="14">
                  <c:v>1</c:v>
                </c:pt>
                <c:pt idx="15">
                  <c:v>1</c:v>
                </c:pt>
              </c:numCache>
            </c:numRef>
          </c:val>
          <c:smooth val="0"/>
          <c:extLst>
            <c:ext xmlns:c16="http://schemas.microsoft.com/office/drawing/2014/chart" uri="{C3380CC4-5D6E-409C-BE32-E72D297353CC}">
              <c16:uniqueId val="{00000003-06A3-48B1-A1F5-4060062656F3}"/>
            </c:ext>
          </c:extLst>
        </c:ser>
        <c:dLbls>
          <c:showLegendKey val="0"/>
          <c:showVal val="0"/>
          <c:showCatName val="0"/>
          <c:showSerName val="0"/>
          <c:showPercent val="0"/>
          <c:showBubbleSize val="0"/>
        </c:dLbls>
        <c:marker val="1"/>
        <c:smooth val="0"/>
        <c:axId val="416212864"/>
        <c:axId val="416214400"/>
      </c:lineChart>
      <c:dateAx>
        <c:axId val="416212864"/>
        <c:scaling>
          <c:orientation val="minMax"/>
        </c:scaling>
        <c:delete val="0"/>
        <c:axPos val="b"/>
        <c:numFmt formatCode="[$-40C]d\-mmm;@" sourceLinked="1"/>
        <c:majorTickMark val="cross"/>
        <c:minorTickMark val="none"/>
        <c:tickLblPos val="nextTo"/>
        <c:txPr>
          <a:bodyPr/>
          <a:lstStyle/>
          <a:p>
            <a:pPr>
              <a:defRPr b="1" lang="fr-FR"/>
            </a:pPr>
            <a:endParaRPr lang="fr-FR"/>
          </a:p>
        </c:txPr>
        <c:crossAx val="416214400"/>
        <c:crosses val="autoZero"/>
        <c:auto val="1"/>
        <c:lblOffset val="100"/>
        <c:baseTimeUnit val="days"/>
      </c:dateAx>
      <c:valAx>
        <c:axId val="416214400"/>
        <c:scaling>
          <c:orientation val="minMax"/>
          <c:max val="60000"/>
        </c:scaling>
        <c:delete val="0"/>
        <c:axPos val="l"/>
        <c:majorGridlines/>
        <c:title>
          <c:tx>
            <c:rich>
              <a:bodyPr rot="-5400000" vert="horz"/>
              <a:lstStyle/>
              <a:p>
                <a:pPr>
                  <a:defRPr sz="1200" b="0" lang="fr-FR"/>
                </a:pPr>
                <a:r>
                  <a:rPr lang="fr-FR" sz="1200" b="0"/>
                  <a:t xml:space="preserve">Nombre d’abeilles ou de cellules de couvain</a:t>
                </a:r>
              </a:p>
            </c:rich>
          </c:tx>
          <c:layout>
            <c:manualLayout>
              <c:xMode val="edge"/>
              <c:yMode val="edge"/>
              <c:x val="1.125073884427907E-2"/>
              <c:y val="0.19237848906232818"/>
            </c:manualLayout>
          </c:layout>
          <c:overlay val="0"/>
        </c:title>
        <c:numFmt formatCode="#,##0" sourceLinked="0"/>
        <c:majorTickMark val="out"/>
        <c:minorTickMark val="none"/>
        <c:tickLblPos val="nextTo"/>
        <c:txPr>
          <a:bodyPr/>
          <a:lstStyle/>
          <a:p>
            <a:pPr>
              <a:defRPr sz="800" lang="fr-FR"/>
            </a:pPr>
            <a:endParaRPr lang="fr-FR"/>
          </a:p>
        </c:txPr>
        <c:crossAx val="416212864"/>
        <c:crosses val="autoZero"/>
        <c:crossBetween val="midCat"/>
      </c:valAx>
    </c:plotArea>
    <c:legend>
      <c:legendPos val="r"/>
      <c:layout>
        <c:manualLayout>
          <c:xMode val="edge"/>
          <c:yMode val="edge"/>
          <c:x val="0.11786102598671905"/>
          <c:y val="5.0022794769701416E-2"/>
          <c:w val="0.26473058514862957"/>
          <c:h val="0.41827479609516421"/>
        </c:manualLayout>
      </c:layout>
      <c:overlay val="0"/>
      <c:spPr>
        <a:noFill/>
        <a:ln>
          <a:solidFill>
            <a:schemeClr val="tx1"/>
          </a:solidFill>
        </a:ln>
      </c:spPr>
    </c:legend>
    <c:plotVisOnly val="1"/>
    <c:dispBlanksAs val="gap"/>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a:t xml:space="preserve">Arrivées de varroas selon le réglage</a:t>
            </a:r>
          </a:p>
        </c:rich>
      </c:tx>
      <c:overlay val="0"/>
    </c:title>
    <c:autoTitleDeleted val="0"/>
    <c:plotArea>
      <c:layout/>
      <c:lineChart>
        <c:grouping val="standard"/>
        <c:varyColors val="0"/>
        <c:ser>
          <c:idx val="4"/>
          <c:order val="0"/>
          <c:tx>
            <c:v>Réglage 0</c:v>
          </c:tx>
          <c:spPr>
            <a:ln>
              <a:solidFill>
                <a:srgbClr val="00B050"/>
              </a:solidFill>
            </a:ln>
          </c:spPr>
          <c:marker>
            <c:symbol val="circle"/>
            <c:size val="5"/>
            <c:spPr>
              <a:solidFill>
                <a:srgbClr val="00B05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varroas'!$F$12:$F$35</c:f>
              <c:numCache>
                <c:formatCode>General</c:formatCode>
                <c:ptCount val="24"/>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0-A461-4081-BDEB-3038340BCDAE}"/>
            </c:ext>
          </c:extLst>
        </c:ser>
        <c:ser>
          <c:idx val="0"/>
          <c:order val="1"/>
          <c:tx>
            <c:v>Réglage 1</c:v>
          </c:tx>
          <c:spPr>
            <a:ln>
              <a:solidFill>
                <a:srgbClr val="69D8FF"/>
              </a:solidFill>
            </a:ln>
          </c:spPr>
          <c:marker>
            <c:symbol val="circle"/>
            <c:size val="5"/>
            <c:spPr>
              <a:solidFill>
                <a:srgbClr val="00B0F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varroas'!$G$12:$G$35</c:f>
              <c:numCache>
                <c:formatCode>General</c:formatCode>
                <c:ptCount val="24"/>
                <c:pt idx="10">
                  <c:v>1</c:v>
                </c:pt>
                <c:pt idx="11">
                  <c:v>2</c:v>
                </c:pt>
                <c:pt idx="12">
                  <c:v>3</c:v>
                </c:pt>
                <c:pt idx="13">
                  <c:v>5</c:v>
                </c:pt>
                <c:pt idx="14">
                  <c:v>8</c:v>
                </c:pt>
                <c:pt idx="15">
                  <c:v>15</c:v>
                </c:pt>
                <c:pt idx="16">
                  <c:v>20</c:v>
                </c:pt>
                <c:pt idx="17">
                  <c:v>25</c:v>
                </c:pt>
                <c:pt idx="18">
                  <c:v>15</c:v>
                </c:pt>
                <c:pt idx="19">
                  <c:v>6</c:v>
                </c:pt>
              </c:numCache>
            </c:numRef>
          </c:val>
          <c:smooth val="0"/>
          <c:extLst>
            <c:ext xmlns:c16="http://schemas.microsoft.com/office/drawing/2014/chart" uri="{C3380CC4-5D6E-409C-BE32-E72D297353CC}">
              <c16:uniqueId val="{00000001-A461-4081-BDEB-3038340BCDAE}"/>
            </c:ext>
          </c:extLst>
        </c:ser>
        <c:ser>
          <c:idx val="1"/>
          <c:order val="2"/>
          <c:tx>
            <c:v>Réglage 2</c:v>
          </c:tx>
          <c:spPr>
            <a:ln>
              <a:solidFill>
                <a:srgbClr val="0070C0"/>
              </a:solidFill>
            </a:ln>
          </c:spPr>
          <c:marker>
            <c:symbol val="circle"/>
            <c:size val="5"/>
            <c:spPr>
              <a:solidFill>
                <a:srgbClr val="0070C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varroas'!$H$12:$H$21</c:f>
              <c:numCache>
                <c:formatCode>General</c:formatCode>
                <c:ptCount val="10"/>
              </c:numCache>
            </c:numRef>
          </c:val>
          <c:smooth val="0"/>
          <c:extLst>
            <c:ext xmlns:c16="http://schemas.microsoft.com/office/drawing/2014/chart" uri="{C3380CC4-5D6E-409C-BE32-E72D297353CC}">
              <c16:uniqueId val="{00000002-A461-4081-BDEB-3038340BCDAE}"/>
            </c:ext>
          </c:extLst>
        </c:ser>
        <c:ser>
          <c:idx val="2"/>
          <c:order val="3"/>
          <c:tx>
            <c:v>Réglage 3</c:v>
          </c:tx>
          <c:spPr>
            <a:ln>
              <a:solidFill>
                <a:srgbClr val="7030A0"/>
              </a:solidFill>
            </a:ln>
          </c:spPr>
          <c:marker>
            <c:symbol val="circle"/>
            <c:size val="5"/>
            <c:spPr>
              <a:solidFill>
                <a:srgbClr val="7030A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varroas'!$I$12:$I$35</c:f>
              <c:numCache>
                <c:formatCode>General</c:formatCode>
                <c:ptCount val="24"/>
                <c:pt idx="10">
                  <c:v>5</c:v>
                </c:pt>
                <c:pt idx="11">
                  <c:v>5</c:v>
                </c:pt>
                <c:pt idx="12">
                  <c:v>15</c:v>
                </c:pt>
                <c:pt idx="13">
                  <c:v>20</c:v>
                </c:pt>
                <c:pt idx="14">
                  <c:v>50</c:v>
                </c:pt>
                <c:pt idx="15">
                  <c:v>100</c:v>
                </c:pt>
                <c:pt idx="16">
                  <c:v>125</c:v>
                </c:pt>
                <c:pt idx="17">
                  <c:v>100</c:v>
                </c:pt>
                <c:pt idx="18">
                  <c:v>50</c:v>
                </c:pt>
                <c:pt idx="19">
                  <c:v>30</c:v>
                </c:pt>
              </c:numCache>
            </c:numRef>
          </c:val>
          <c:smooth val="0"/>
          <c:extLst>
            <c:ext xmlns:c16="http://schemas.microsoft.com/office/drawing/2014/chart" uri="{C3380CC4-5D6E-409C-BE32-E72D297353CC}">
              <c16:uniqueId val="{00000003-A461-4081-BDEB-3038340BCDAE}"/>
            </c:ext>
          </c:extLst>
        </c:ser>
        <c:ser>
          <c:idx val="3"/>
          <c:order val="4"/>
          <c:tx>
            <c:v>Réglage 4</c:v>
          </c:tx>
          <c:spPr>
            <a:ln>
              <a:solidFill>
                <a:srgbClr val="FF0000"/>
              </a:solidFill>
            </a:ln>
          </c:spPr>
          <c:marker>
            <c:symbol val="circle"/>
            <c:size val="5"/>
            <c:spPr>
              <a:solidFill>
                <a:srgbClr val="FF000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varroas'!$J$12:$J$36</c:f>
              <c:numCache>
                <c:formatCode>General</c:formatCode>
                <c:ptCount val="25"/>
                <c:pt idx="10">
                  <c:v>10</c:v>
                </c:pt>
                <c:pt idx="11">
                  <c:v>20</c:v>
                </c:pt>
                <c:pt idx="12">
                  <c:v>30</c:v>
                </c:pt>
                <c:pt idx="13">
                  <c:v>45</c:v>
                </c:pt>
                <c:pt idx="14" formatCode="0">
                  <c:v>130</c:v>
                </c:pt>
                <c:pt idx="15" formatCode="0">
                  <c:v>175</c:v>
                </c:pt>
                <c:pt idx="16" formatCode="0">
                  <c:v>210</c:v>
                </c:pt>
                <c:pt idx="17" formatCode="0">
                  <c:v>180</c:v>
                </c:pt>
                <c:pt idx="18" formatCode="0">
                  <c:v>130</c:v>
                </c:pt>
                <c:pt idx="19" formatCode="0">
                  <c:v>70</c:v>
                </c:pt>
                <c:pt idx="24">
                  <c:v>1000</c:v>
                </c:pt>
              </c:numCache>
            </c:numRef>
          </c:val>
          <c:smooth val="0"/>
          <c:extLst>
            <c:ext xmlns:c16="http://schemas.microsoft.com/office/drawing/2014/chart" uri="{C3380CC4-5D6E-409C-BE32-E72D297353CC}">
              <c16:uniqueId val="{00000004-A461-4081-BDEB-3038340BCDAE}"/>
            </c:ext>
          </c:extLst>
        </c:ser>
        <c:ser>
          <c:idx val="5"/>
          <c:order val="5"/>
          <c:tx>
            <c:v>Réglage X</c:v>
          </c:tx>
          <c:marker>
            <c:symbol val="circle"/>
            <c:size val="5"/>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varroas'!$K$12:$K$34</c:f>
              <c:numCache>
                <c:formatCode>General</c:formatCode>
                <c:ptCount val="23"/>
                <c:pt idx="10">
                  <c:v>5</c:v>
                </c:pt>
                <c:pt idx="11">
                  <c:v>5</c:v>
                </c:pt>
                <c:pt idx="12">
                  <c:v>15</c:v>
                </c:pt>
                <c:pt idx="13">
                  <c:v>20</c:v>
                </c:pt>
                <c:pt idx="14">
                  <c:v>50</c:v>
                </c:pt>
                <c:pt idx="15">
                  <c:v>100</c:v>
                </c:pt>
                <c:pt idx="16">
                  <c:v>125</c:v>
                </c:pt>
                <c:pt idx="17">
                  <c:v>100</c:v>
                </c:pt>
                <c:pt idx="18">
                  <c:v>80</c:v>
                </c:pt>
              </c:numCache>
            </c:numRef>
          </c:val>
          <c:smooth val="0"/>
          <c:extLst>
            <c:ext xmlns:c16="http://schemas.microsoft.com/office/drawing/2014/chart" uri="{C3380CC4-5D6E-409C-BE32-E72D297353CC}">
              <c16:uniqueId val="{00000005-A461-4081-BDEB-3038340BCDAE}"/>
            </c:ext>
          </c:extLst>
        </c:ser>
        <c:dLbls>
          <c:showLegendKey val="0"/>
          <c:showVal val="0"/>
          <c:showCatName val="0"/>
          <c:showSerName val="0"/>
          <c:showPercent val="0"/>
          <c:showBubbleSize val="0"/>
        </c:dLbls>
        <c:marker val="1"/>
        <c:smooth val="0"/>
        <c:axId val="416727040"/>
        <c:axId val="416728576"/>
      </c:lineChart>
      <c:dateAx>
        <c:axId val="416727040"/>
        <c:scaling>
          <c:orientation val="minMax"/>
        </c:scaling>
        <c:delete val="0"/>
        <c:axPos val="b"/>
        <c:numFmt formatCode="[$-40C]d\-mmm;@" sourceLinked="1"/>
        <c:majorTickMark val="out"/>
        <c:minorTickMark val="none"/>
        <c:tickLblPos val="nextTo"/>
        <c:crossAx val="416728576"/>
        <c:crosses val="autoZero"/>
        <c:auto val="1"/>
        <c:lblOffset val="100"/>
        <c:baseTimeUnit val="days"/>
      </c:dateAx>
      <c:valAx>
        <c:axId val="416728576"/>
        <c:scaling>
          <c:orientation val="minMax"/>
        </c:scaling>
        <c:delete val="0"/>
        <c:axPos val="l"/>
        <c:majorGridlines/>
        <c:title>
          <c:tx>
            <c:rich>
              <a:bodyPr rot="-5400000" vert="horz"/>
              <a:lstStyle/>
              <a:p>
                <a:pPr>
                  <a:defRPr lang="fr-FR"/>
                </a:pPr>
                <a:r>
                  <a:rPr lang="fr-FR"/>
                  <a:t xml:space="preserve">Arrivées de varroas par intervalle de 15 jours</a:t>
                </a:r>
              </a:p>
            </c:rich>
          </c:tx>
          <c:overlay val="0"/>
        </c:title>
        <c:numFmt formatCode="General" sourceLinked="1"/>
        <c:majorTickMark val="out"/>
        <c:minorTickMark val="none"/>
        <c:tickLblPos val="nextTo"/>
        <c:crossAx val="416727040"/>
        <c:crosses val="autoZero"/>
        <c:crossBetween val="between"/>
      </c:valAx>
    </c:plotArea>
    <c:legend>
      <c:legendPos val="r"/>
      <c:overlay val="0"/>
    </c:legend>
    <c:plotVisOnly val="1"/>
    <c:dispBlanksAs val="zero"/>
    <c:showDLblsOverMax val="0"/>
  </c:chart>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44452848761708"/>
          <c:y val="0.1800425262667659"/>
          <c:w val="0.81578998392407998"/>
          <c:h val="0.67565581962372301"/>
        </c:manualLayout>
      </c:layout>
      <c:lineChart>
        <c:grouping val="standard"/>
        <c:varyColors val="0"/>
        <c:ser>
          <c:idx val="0"/>
          <c:order val="0"/>
          <c:tx>
            <c:v>Augmentation de la population de varroas</c:v>
          </c:tx>
          <c:spPr>
            <a:ln>
              <a:solidFill>
                <a:srgbClr val="FF0000"/>
              </a:solidFill>
            </a:ln>
          </c:spPr>
          <c:marker>
            <c:spPr>
              <a:solidFill>
                <a:srgbClr val="FF0000"/>
              </a:solidFill>
              <a:ln>
                <a:noFill/>
              </a:ln>
            </c:spPr>
          </c:marker>
          <c:cat>
            <c:numRef>
              <c:f>'Réduction annuelle nécessaire'!$C$18:$C$30</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nécessaire'!$F$18:$F$30</c:f>
              <c:numCache>
                <c:formatCode>0</c:formatCode>
                <c:ptCount val="13"/>
                <c:pt idx="0" formatCode="General">
                  <c:v>1</c:v>
                </c:pt>
                <c:pt idx="1">
                  <c:v>1.8776105792643432</c:v>
                </c:pt>
                <c:pt idx="2">
                  <c:v>3.5254214873653824</c:v>
                </c:pt>
                <c:pt idx="3">
                  <c:v>6.6193686810430776</c:v>
                </c:pt>
                <c:pt idx="4">
                  <c:v>12.428596663577544</c:v>
                </c:pt>
                <c:pt idx="5">
                  <c:v>23.336064580942715</c:v>
                </c:pt>
                <c:pt idx="6">
                  <c:v>43.816041735573975</c:v>
                </c:pt>
                <c:pt idx="7">
                  <c:v>82.269463504201681</c:v>
                </c:pt>
                <c:pt idx="8">
                  <c:v>154.47001502589086</c:v>
                </c:pt>
                <c:pt idx="9">
                  <c:v>290.03453439173472</c:v>
                </c:pt>
                <c:pt idx="10">
                  <c:v>544.57191012592909</c:v>
                </c:pt>
                <c:pt idx="11">
                  <c:v>468.54106283314002</c:v>
                </c:pt>
                <c:pt idx="12">
                  <c:v>403.12532372454399</c:v>
                </c:pt>
              </c:numCache>
            </c:numRef>
          </c:val>
          <c:smooth val="0"/>
          <c:extLst>
            <c:ext xmlns:c16="http://schemas.microsoft.com/office/drawing/2014/chart" uri="{C3380CC4-5D6E-409C-BE32-E72D297353CC}">
              <c16:uniqueId val="{00000000-2145-440D-8FE8-544C18705C25}"/>
            </c:ext>
          </c:extLst>
        </c:ser>
        <c:ser>
          <c:idx val="1"/>
          <c:order val="1"/>
          <c:tx>
            <c:v>Traitement</c:v>
          </c:tx>
          <c:spPr>
            <a:ln>
              <a:noFill/>
            </a:ln>
          </c:spPr>
          <c:marker>
            <c:symbol val="triangle"/>
            <c:size val="12"/>
            <c:spPr>
              <a:solidFill>
                <a:schemeClr val="tx1"/>
              </a:solidFill>
            </c:spPr>
          </c:marker>
          <c:dLbls>
            <c:spPr>
              <a:noFill/>
              <a:ln>
                <a:noFill/>
              </a:ln>
              <a:effectLst/>
            </c:spPr>
            <c:txPr>
              <a:bodyPr/>
              <a:lstStyle/>
              <a:p>
                <a:pPr>
                  <a:defRPr sz="1200" b="1" lang="fr-FR">
                    <a:solidFill>
                      <a:schemeClr val="tx1"/>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'Réduction annuelle nécessaire'!$C$18:$C$30</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nécessaire'!$E$18:$E$30</c:f>
              <c:numCache>
                <c:formatCode>0%</c:formatCode>
                <c:ptCount val="13"/>
              </c:numCache>
            </c:numRef>
          </c:val>
          <c:smooth val="0"/>
          <c:extLst>
            <c:ext xmlns:c16="http://schemas.microsoft.com/office/drawing/2014/chart" uri="{C3380CC4-5D6E-409C-BE32-E72D297353CC}">
              <c16:uniqueId val="{00000001-2145-440D-8FE8-544C18705C25}"/>
            </c:ext>
          </c:extLst>
        </c:ser>
        <c:ser>
          <c:idx val="2"/>
          <c:order val="2"/>
          <c:tx>
            <c:v>Départ</c:v>
          </c:tx>
          <c:spPr>
            <a:ln w="19050">
              <a:solidFill>
                <a:srgbClr val="0070C0"/>
              </a:solidFill>
              <a:prstDash val="sysDash"/>
            </a:ln>
          </c:spPr>
          <c:marker>
            <c:symbol val="none"/>
          </c:marker>
          <c:dLbls>
            <c:dLbl>
              <c:idx val="6"/>
              <c:layout>
                <c:manualLayout>
                  <c:x val="0.10686808850704635"/>
                  <c:y val="3.2364612536990803E-3"/>
                </c:manualLayout>
              </c:layout>
              <c:tx>
                <c:rich>
                  <a:bodyPr/>
                  <a:lstStyle/>
                  <a:p>
                    <a:r>
                      <a:rPr lang="fr-FR" b="1">
                        <a:solidFill>
                          <a:srgbClr val="0070C0"/>
                        </a:solidFill>
                      </a:rPr>
                      <a:t xml:space="preserve">Référence</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45-440D-8FE8-544C18705C25}"/>
                </c:ext>
              </c:extLst>
            </c:dLbl>
            <c:spPr>
              <a:solidFill>
                <a:schemeClr val="bg1"/>
              </a:solidFill>
            </c:spPr>
            <c:showLegendKey val="0"/>
            <c:showVal val="0"/>
            <c:showCatName val="0"/>
            <c:showSerName val="0"/>
            <c:showPercent val="0"/>
            <c:showBubbleSize val="0"/>
            <c:extLst>
              <c:ext xmlns:c15="http://schemas.microsoft.com/office/drawing/2012/chart" uri="{CE6537A1-D6FC-4f65-9D91-7224C49458BB}">
                <c15:showLeaderLines val="0"/>
              </c:ext>
            </c:extLst>
          </c:dLbls>
          <c:cat>
            <c:numRef>
              <c:f>'Réduction annuelle nécessaire'!$C$18:$C$30</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nécessaire'!$G$18:$G$30</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c:ext xmlns:c16="http://schemas.microsoft.com/office/drawing/2014/chart" uri="{C3380CC4-5D6E-409C-BE32-E72D297353CC}">
              <c16:uniqueId val="{00000003-2145-440D-8FE8-544C18705C25}"/>
            </c:ext>
          </c:extLst>
        </c:ser>
        <c:dLbls>
          <c:showLegendKey val="0"/>
          <c:showVal val="0"/>
          <c:showCatName val="0"/>
          <c:showSerName val="0"/>
          <c:showPercent val="0"/>
          <c:showBubbleSize val="0"/>
        </c:dLbls>
        <c:marker val="1"/>
        <c:smooth val="0"/>
        <c:axId val="415724288"/>
        <c:axId val="415726208"/>
      </c:lineChart>
      <c:catAx>
        <c:axId val="415724288"/>
        <c:scaling>
          <c:orientation val="minMax"/>
        </c:scaling>
        <c:delete val="0"/>
        <c:axPos val="b"/>
        <c:title>
          <c:tx>
            <c:rich>
              <a:bodyPr/>
              <a:lstStyle/>
              <a:p>
                <a:pPr>
                  <a:defRPr lang="fr-FR"/>
                </a:pPr>
                <a:r>
                  <a:rPr lang="fr-FR"/>
                  <a:t xml:space="preserve">Mois</a:t>
                </a:r>
              </a:p>
            </c:rich>
          </c:tx>
          <c:overlay val="0"/>
        </c:title>
        <c:numFmt formatCode="General" sourceLinked="1"/>
        <c:majorTickMark val="out"/>
        <c:minorTickMark val="none"/>
        <c:tickLblPos val="nextTo"/>
        <c:crossAx val="415726208"/>
        <c:crosses val="autoZero"/>
        <c:auto val="1"/>
        <c:lblAlgn val="ctr"/>
        <c:lblOffset val="100"/>
        <c:noMultiLvlLbl val="0"/>
      </c:catAx>
      <c:valAx>
        <c:axId val="415726208"/>
        <c:scaling>
          <c:orientation val="minMax"/>
          <c:max val="100"/>
          <c:min val="0"/>
        </c:scaling>
        <c:delete val="0"/>
        <c:axPos val="l"/>
        <c:majorGridlines/>
        <c:title>
          <c:tx>
            <c:rich>
              <a:bodyPr rot="-5400000" vert="horz"/>
              <a:lstStyle/>
              <a:p>
                <a:pPr>
                  <a:defRPr sz="1400" lang="fr-FR"/>
                </a:pPr>
                <a:r>
                  <a:rPr lang="fr-FR" sz="1400"/>
                  <a:t xml:space="preserve">Facteur de multiplication de la population de varroas depuis le départ</a:t>
                </a:r>
              </a:p>
            </c:rich>
          </c:tx>
          <c:overlay val="0"/>
        </c:title>
        <c:numFmt formatCode="0&quot;x&quot;" sourceLinked="0"/>
        <c:majorTickMark val="out"/>
        <c:minorTickMark val="none"/>
        <c:tickLblPos val="nextTo"/>
        <c:crossAx val="415724288"/>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a:t xml:space="preserve">Survie des varroas</a:t>
            </a:r>
          </a:p>
        </c:rich>
      </c:tx>
      <c:overlay val="0"/>
    </c:title>
    <c:autoTitleDeleted val="0"/>
    <c:plotArea>
      <c:layout/>
      <c:lineChart>
        <c:grouping val="standard"/>
        <c:varyColors val="0"/>
        <c:ser>
          <c:idx val="0"/>
          <c:order val="0"/>
          <c:spPr>
            <a:ln w="12700">
              <a:solidFill>
                <a:schemeClr val="tx1"/>
              </a:solidFill>
            </a:ln>
          </c:spPr>
          <c:marker>
            <c:symbol val="circle"/>
            <c:size val="3"/>
            <c:spPr>
              <a:solidFill>
                <a:schemeClr val="tx1"/>
              </a:solidFill>
              <a:ln>
                <a:noFill/>
              </a:ln>
            </c:spPr>
          </c:marker>
          <c:cat>
            <c:numRef>
              <c:f>'Réduction annuelle nécessaire'!$B$47:$B$67</c:f>
              <c:numCache>
                <c:formatCode>General</c:formatCode>
                <c:ptCount val="21"/>
                <c:pt idx="0">
                  <c:v>0</c:v>
                </c:pt>
                <c:pt idx="1">
                  <c:v>15</c:v>
                </c:pt>
                <c:pt idx="2">
                  <c:v>30</c:v>
                </c:pt>
                <c:pt idx="3">
                  <c:v>45</c:v>
                </c:pt>
                <c:pt idx="4">
                  <c:v>60</c:v>
                </c:pt>
                <c:pt idx="5">
                  <c:v>75</c:v>
                </c:pt>
                <c:pt idx="6">
                  <c:v>90</c:v>
                </c:pt>
                <c:pt idx="7">
                  <c:v>105</c:v>
                </c:pt>
                <c:pt idx="8">
                  <c:v>120</c:v>
                </c:pt>
                <c:pt idx="9">
                  <c:v>135</c:v>
                </c:pt>
                <c:pt idx="10">
                  <c:v>150</c:v>
                </c:pt>
                <c:pt idx="11">
                  <c:v>165</c:v>
                </c:pt>
                <c:pt idx="12">
                  <c:v>180</c:v>
                </c:pt>
                <c:pt idx="13">
                  <c:v>195</c:v>
                </c:pt>
                <c:pt idx="14">
                  <c:v>210</c:v>
                </c:pt>
                <c:pt idx="15">
                  <c:v>225</c:v>
                </c:pt>
                <c:pt idx="16">
                  <c:v>240</c:v>
                </c:pt>
                <c:pt idx="17">
                  <c:v>255</c:v>
                </c:pt>
                <c:pt idx="18">
                  <c:v>270</c:v>
                </c:pt>
                <c:pt idx="19">
                  <c:v>285</c:v>
                </c:pt>
                <c:pt idx="20">
                  <c:v>300</c:v>
                </c:pt>
              </c:numCache>
            </c:numRef>
          </c:cat>
          <c:val>
            <c:numRef>
              <c:f>'Réduction annuelle nécessaire'!$C$47:$C$67</c:f>
              <c:numCache>
                <c:formatCode>0</c:formatCode>
                <c:ptCount val="21"/>
                <c:pt idx="0">
                  <c:v>100</c:v>
                </c:pt>
                <c:pt idx="1">
                  <c:v>5.5308437014783364E-2</c:v>
                </c:pt>
                <c:pt idx="2">
                  <c:v>3.0590232050182587E-5</c:v>
                </c:pt>
                <c:pt idx="3">
                  <c:v>1.6918979226151309E-8</c:v>
                </c:pt>
                <c:pt idx="4">
                  <c:v>9.357622968840179E-12</c:v>
                </c:pt>
                <c:pt idx="5">
                  <c:v>5.1755550058018717E-15</c:v>
                </c:pt>
                <c:pt idx="6">
                  <c:v>2.8625185805493955E-18</c:v>
                </c:pt>
                <c:pt idx="7">
                  <c:v>1.5832142861596332E-21</c:v>
                </c:pt>
                <c:pt idx="8">
                  <c:v>8.7565107626965268E-25</c:v>
                </c:pt>
                <c:pt idx="9">
                  <c:v>4.8430892398787348E-28</c:v>
                </c:pt>
                <c:pt idx="10">
                  <c:v>2.6786369618080803E-31</c:v>
                </c:pt>
                <c:pt idx="11">
                  <c:v>1.4815122368763289E-34</c:v>
                </c:pt>
                <c:pt idx="12">
                  <c:v>8.1940126239905245E-38</c:v>
                </c:pt>
                <c:pt idx="13">
                  <c:v>4.5319803111231965E-41</c:v>
                </c:pt>
                <c:pt idx="14">
                  <c:v>2.5065674758999564E-44</c:v>
                </c:pt>
                <c:pt idx="15">
                  <c:v>1.3863432936411726E-47</c:v>
                </c:pt>
                <c:pt idx="16">
                  <c:v>7.6676480737220112E-51</c:v>
                </c:pt>
                <c:pt idx="17">
                  <c:v>4.2408563053697883E-54</c:v>
                </c:pt>
                <c:pt idx="18">
                  <c:v>2.3455513385429182E-57</c:v>
                </c:pt>
                <c:pt idx="19">
                  <c:v>1.2972877847274181E-60</c:v>
                </c:pt>
                <c:pt idx="20">
                  <c:v>7.1750959731644244E-64</c:v>
                </c:pt>
              </c:numCache>
            </c:numRef>
          </c:val>
          <c:smooth val="0"/>
          <c:extLst>
            <c:ext xmlns:c16="http://schemas.microsoft.com/office/drawing/2014/chart" uri="{C3380CC4-5D6E-409C-BE32-E72D297353CC}">
              <c16:uniqueId val="{00000000-4A6B-4AB1-BF82-0CA3906D350E}"/>
            </c:ext>
          </c:extLst>
        </c:ser>
        <c:dLbls>
          <c:showLegendKey val="0"/>
          <c:showVal val="0"/>
          <c:showCatName val="0"/>
          <c:showSerName val="0"/>
          <c:showPercent val="0"/>
          <c:showBubbleSize val="0"/>
        </c:dLbls>
        <c:marker val="1"/>
        <c:smooth val="0"/>
        <c:axId val="417606656"/>
        <c:axId val="417609216"/>
      </c:lineChart>
      <c:catAx>
        <c:axId val="417606656"/>
        <c:scaling>
          <c:orientation val="minMax"/>
        </c:scaling>
        <c:delete val="0"/>
        <c:axPos val="b"/>
        <c:title>
          <c:tx>
            <c:rich>
              <a:bodyPr/>
              <a:lstStyle/>
              <a:p>
                <a:pPr>
                  <a:defRPr lang="fr-FR"/>
                </a:pPr>
                <a:r>
                  <a:rPr lang="fr-FR"/>
                  <a:t xml:space="preserve">Jours</a:t>
                </a:r>
              </a:p>
            </c:rich>
          </c:tx>
          <c:overlay val="0"/>
        </c:title>
        <c:numFmt formatCode="General" sourceLinked="1"/>
        <c:majorTickMark val="out"/>
        <c:minorTickMark val="none"/>
        <c:tickLblPos val="nextTo"/>
        <c:crossAx val="417609216"/>
        <c:crosses val="autoZero"/>
        <c:auto val="1"/>
        <c:lblAlgn val="ctr"/>
        <c:lblOffset val="100"/>
        <c:noMultiLvlLbl val="0"/>
      </c:catAx>
      <c:valAx>
        <c:axId val="417609216"/>
        <c:scaling>
          <c:orientation val="minMax"/>
          <c:max val="100"/>
        </c:scaling>
        <c:delete val="0"/>
        <c:axPos val="l"/>
        <c:majorGridlines/>
        <c:title>
          <c:tx>
            <c:rich>
              <a:bodyPr rot="-5400000" vert="horz"/>
              <a:lstStyle/>
              <a:p>
                <a:pPr>
                  <a:defRPr sz="1200" lang="fr-FR"/>
                </a:pPr>
                <a:r>
                  <a:rPr lang="fr-FR" sz="1200"/>
                  <a:t xml:space="preserve">Pourcentage des varroas initiaux encore vivants</a:t>
                </a:r>
              </a:p>
            </c:rich>
          </c:tx>
          <c:overlay val="0"/>
        </c:title>
        <c:numFmt formatCode="0" sourceLinked="1"/>
        <c:majorTickMark val="out"/>
        <c:minorTickMark val="none"/>
        <c:tickLblPos val="nextTo"/>
        <c:crossAx val="417606656"/>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44452848761708"/>
          <c:y val="0.1800425262667659"/>
          <c:w val="0.81578998392407998"/>
          <c:h val="0.67565581962372301"/>
        </c:manualLayout>
      </c:layout>
      <c:lineChart>
        <c:grouping val="standard"/>
        <c:varyColors val="0"/>
        <c:ser>
          <c:idx val="0"/>
          <c:order val="0"/>
          <c:tx>
            <c:v>Population naïve, non résistante</c:v>
          </c:tx>
          <c:spPr>
            <a:ln>
              <a:solidFill>
                <a:srgbClr val="C00000"/>
              </a:solidFill>
            </a:ln>
          </c:spPr>
          <c:marker>
            <c:symbol val="none"/>
          </c:marker>
          <c:cat>
            <c:numRef>
              <c:f>'Réduction annuelle nécessaire'!$N$49:$N$61</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nécessaire'!$O$49:$O$61</c:f>
              <c:numCache>
                <c:formatCode>0</c:formatCode>
                <c:ptCount val="13"/>
                <c:pt idx="0" formatCode="General">
                  <c:v>1</c:v>
                </c:pt>
                <c:pt idx="1">
                  <c:v>1.8776105792643432</c:v>
                </c:pt>
                <c:pt idx="2">
                  <c:v>3.5254214873653824</c:v>
                </c:pt>
                <c:pt idx="3">
                  <c:v>6.6193686810430776</c:v>
                </c:pt>
                <c:pt idx="4">
                  <c:v>12.428596663577544</c:v>
                </c:pt>
                <c:pt idx="5">
                  <c:v>23.336064580942715</c:v>
                </c:pt>
                <c:pt idx="6">
                  <c:v>43.816041735573975</c:v>
                </c:pt>
                <c:pt idx="7">
                  <c:v>82.269463504201681</c:v>
                </c:pt>
                <c:pt idx="8">
                  <c:v>154.47001502589086</c:v>
                </c:pt>
                <c:pt idx="9">
                  <c:v>290.03453439173472</c:v>
                </c:pt>
                <c:pt idx="10">
                  <c:v>544.57191012592909</c:v>
                </c:pt>
                <c:pt idx="11">
                  <c:v>1022.4939796226355</c:v>
                </c:pt>
                <c:pt idx="12">
                  <c:v>1919.8455133735602</c:v>
                </c:pt>
              </c:numCache>
            </c:numRef>
          </c:val>
          <c:smooth val="0"/>
          <c:extLst>
            <c:ext xmlns:c16="http://schemas.microsoft.com/office/drawing/2014/chart" uri="{C3380CC4-5D6E-409C-BE32-E72D297353CC}">
              <c16:uniqueId val="{00000000-4A8B-4FE7-BC49-A3AAB44579E5}"/>
            </c:ext>
          </c:extLst>
        </c:ser>
        <c:ser>
          <c:idx val="1"/>
          <c:order val="1"/>
          <c:tx>
            <c:v>Résistance de 25 %</c:v>
          </c:tx>
          <c:spPr>
            <a:ln>
              <a:solidFill>
                <a:srgbClr val="FF4747"/>
              </a:solidFill>
            </a:ln>
          </c:spPr>
          <c:marker>
            <c:symbol val="none"/>
          </c:marker>
          <c:cat>
            <c:numRef>
              <c:f>'Réduction annuelle nécessaire'!$N$49:$N$61</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nécessaire'!$P$49:$P$61</c:f>
              <c:numCache>
                <c:formatCode>0</c:formatCode>
                <c:ptCount val="13"/>
                <c:pt idx="0" formatCode="General">
                  <c:v>1</c:v>
                </c:pt>
                <c:pt idx="1">
                  <c:v>1.6039991828515145</c:v>
                </c:pt>
                <c:pt idx="2">
                  <c:v>2.5728133785883265</c:v>
                </c:pt>
                <c:pt idx="3">
                  <c:v>4.12679055688512</c:v>
                </c:pt>
                <c:pt idx="4">
                  <c:v>6.6193686810430794</c:v>
                </c:pt>
                <c:pt idx="5">
                  <c:v>10.617461955386007</c:v>
                </c:pt>
                <c:pt idx="6">
                  <c:v>17.030400300396199</c:v>
                </c:pt>
                <c:pt idx="7">
                  <c:v>27.31674816546969</c:v>
                </c:pt>
                <c:pt idx="8">
                  <c:v>43.81604173557399</c:v>
                </c:pt>
                <c:pt idx="9">
                  <c:v>70.280895139648536</c:v>
                </c:pt>
                <c:pt idx="10">
                  <c:v>112.73049837406923</c:v>
                </c:pt>
                <c:pt idx="11">
                  <c:v>180.81962727445102</c:v>
                </c:pt>
                <c:pt idx="12">
                  <c:v>290.03453439173489</c:v>
                </c:pt>
              </c:numCache>
            </c:numRef>
          </c:val>
          <c:smooth val="0"/>
          <c:extLst>
            <c:ext xmlns:c16="http://schemas.microsoft.com/office/drawing/2014/chart" uri="{C3380CC4-5D6E-409C-BE32-E72D297353CC}">
              <c16:uniqueId val="{00000001-4A8B-4FE7-BC49-A3AAB44579E5}"/>
            </c:ext>
          </c:extLst>
        </c:ser>
        <c:ser>
          <c:idx val="2"/>
          <c:order val="2"/>
          <c:tx>
            <c:v>Résistance de 50 %</c:v>
          </c:tx>
          <c:spPr>
            <a:ln w="25400">
              <a:solidFill>
                <a:srgbClr val="FF00FF"/>
              </a:solidFill>
              <a:prstDash val="solid"/>
            </a:ln>
          </c:spPr>
          <c:marker>
            <c:symbol val="none"/>
          </c:marker>
          <c:cat>
            <c:numRef>
              <c:f>'Réduction annuelle nécessaire'!$N$49:$N$61</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nécessaire'!$Q$49:$Q$61</c:f>
              <c:numCache>
                <c:formatCode>0</c:formatCode>
                <c:ptCount val="13"/>
                <c:pt idx="0" formatCode="General">
                  <c:v>1</c:v>
                </c:pt>
                <c:pt idx="1">
                  <c:v>1.3702593109569967</c:v>
                </c:pt>
                <c:pt idx="2">
                  <c:v>1.8776105792643434</c:v>
                </c:pt>
                <c:pt idx="3">
                  <c:v>2.5728133785883265</c:v>
                </c:pt>
                <c:pt idx="4">
                  <c:v>3.5254214873653829</c:v>
                </c:pt>
                <c:pt idx="5">
                  <c:v>4.83074161811028</c:v>
                </c:pt>
                <c:pt idx="6">
                  <c:v>6.6193686810430794</c:v>
                </c:pt>
                <c:pt idx="7">
                  <c:v>9.0702515678564133</c:v>
                </c:pt>
                <c:pt idx="8">
                  <c:v>12.428596663577547</c:v>
                </c:pt>
                <c:pt idx="9">
                  <c:v>17.030400300396199</c:v>
                </c:pt>
                <c:pt idx="10">
                  <c:v>23.336064580942725</c:v>
                </c:pt>
                <c:pt idx="11">
                  <c:v>31.976459773130554</c:v>
                </c:pt>
                <c:pt idx="12">
                  <c:v>43.816041735573997</c:v>
                </c:pt>
              </c:numCache>
            </c:numRef>
          </c:val>
          <c:smooth val="0"/>
          <c:extLst>
            <c:ext xmlns:c16="http://schemas.microsoft.com/office/drawing/2014/chart" uri="{C3380CC4-5D6E-409C-BE32-E72D297353CC}">
              <c16:uniqueId val="{00000002-4A8B-4FE7-BC49-A3AAB44579E5}"/>
            </c:ext>
          </c:extLst>
        </c:ser>
        <c:ser>
          <c:idx val="3"/>
          <c:order val="3"/>
          <c:tx>
            <c:v>Résistance de 75 %</c:v>
          </c:tx>
          <c:spPr>
            <a:ln>
              <a:solidFill>
                <a:srgbClr val="0070C0"/>
              </a:solidFill>
            </a:ln>
          </c:spPr>
          <c:marker>
            <c:symbol val="none"/>
          </c:marker>
          <c:cat>
            <c:numRef>
              <c:f>'Réduction annuelle nécessaire'!$N$49:$N$61</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nécessaire'!$R$49:$R$61</c:f>
              <c:numCache>
                <c:formatCode>0</c:formatCode>
                <c:ptCount val="13"/>
                <c:pt idx="0" formatCode="General">
                  <c:v>1</c:v>
                </c:pt>
                <c:pt idx="1">
                  <c:v>1.1705807579816938</c:v>
                </c:pt>
                <c:pt idx="2">
                  <c:v>1.3702593109569967</c:v>
                </c:pt>
                <c:pt idx="3">
                  <c:v>1.6039991828515148</c:v>
                </c:pt>
                <c:pt idx="4">
                  <c:v>1.8776105792643436</c:v>
                </c:pt>
                <c:pt idx="5">
                  <c:v>2.1978948150697026</c:v>
                </c:pt>
                <c:pt idx="6">
                  <c:v>2.5728133785883274</c:v>
                </c:pt>
                <c:pt idx="7">
                  <c:v>3.0116858348533668</c:v>
                </c:pt>
                <c:pt idx="8">
                  <c:v>3.5254214873653846</c:v>
                </c:pt>
                <c:pt idx="9">
                  <c:v>4.1267905568851226</c:v>
                </c:pt>
                <c:pt idx="10">
                  <c:v>4.8307416181102836</c:v>
                </c:pt>
                <c:pt idx="11">
                  <c:v>5.6547731849412495</c:v>
                </c:pt>
                <c:pt idx="12">
                  <c:v>6.6193686810430847</c:v>
                </c:pt>
              </c:numCache>
            </c:numRef>
          </c:val>
          <c:smooth val="0"/>
          <c:extLst>
            <c:ext xmlns:c16="http://schemas.microsoft.com/office/drawing/2014/chart" uri="{C3380CC4-5D6E-409C-BE32-E72D297353CC}">
              <c16:uniqueId val="{00000003-4A8B-4FE7-BC49-A3AAB44579E5}"/>
            </c:ext>
          </c:extLst>
        </c:ser>
        <c:ser>
          <c:idx val="4"/>
          <c:order val="4"/>
          <c:tx>
            <c:v>Résistance de 100 %</c:v>
          </c:tx>
          <c:spPr>
            <a:ln>
              <a:solidFill>
                <a:srgbClr val="00B050"/>
              </a:solidFill>
            </a:ln>
          </c:spPr>
          <c:marker>
            <c:symbol val="none"/>
          </c:marker>
          <c:cat>
            <c:numRef>
              <c:f>'Réduction annuelle nécessaire'!$N$49:$N$61</c:f>
              <c:numCache>
                <c:formatCode>General</c:formatCode>
                <c:ptCount val="13"/>
                <c:pt idx="0">
                  <c:v>0</c:v>
                </c:pt>
                <c:pt idx="1">
                  <c:v>1</c:v>
                </c:pt>
                <c:pt idx="2">
                  <c:v>2</c:v>
                </c:pt>
                <c:pt idx="3">
                  <c:v>3</c:v>
                </c:pt>
                <c:pt idx="4">
                  <c:v>4</c:v>
                </c:pt>
                <c:pt idx="5">
                  <c:v>5</c:v>
                </c:pt>
                <c:pt idx="6">
                  <c:v>6</c:v>
                </c:pt>
                <c:pt idx="7">
                  <c:v>7</c:v>
                </c:pt>
                <c:pt idx="8">
                  <c:v>8</c:v>
                </c:pt>
                <c:pt idx="9">
                  <c:v>9</c:v>
                </c:pt>
                <c:pt idx="10">
                  <c:v>10</c:v>
                </c:pt>
                <c:pt idx="11">
                  <c:v>11</c:v>
                </c:pt>
                <c:pt idx="12">
                  <c:v>12</c:v>
                </c:pt>
              </c:numCache>
            </c:numRef>
          </c:cat>
          <c:val>
            <c:numRef>
              <c:f>'Réduction annuelle nécessaire'!$S$49:$S$61</c:f>
              <c:numCache>
                <c:formatCode>0</c:formatCode>
                <c:ptCount val="13"/>
                <c:pt idx="0" formatCode="General">
                  <c:v>1</c:v>
                </c:pt>
                <c:pt idx="1">
                  <c:v>1</c:v>
                </c:pt>
                <c:pt idx="2">
                  <c:v>1</c:v>
                </c:pt>
                <c:pt idx="3">
                  <c:v>1</c:v>
                </c:pt>
                <c:pt idx="4">
                  <c:v>1</c:v>
                </c:pt>
                <c:pt idx="5">
                  <c:v>1</c:v>
                </c:pt>
                <c:pt idx="6">
                  <c:v>1</c:v>
                </c:pt>
                <c:pt idx="7">
                  <c:v>1</c:v>
                </c:pt>
                <c:pt idx="8">
                  <c:v>1</c:v>
                </c:pt>
                <c:pt idx="9">
                  <c:v>1</c:v>
                </c:pt>
                <c:pt idx="10">
                  <c:v>1</c:v>
                </c:pt>
                <c:pt idx="11">
                  <c:v>1</c:v>
                </c:pt>
                <c:pt idx="12">
                  <c:v>1</c:v>
                </c:pt>
              </c:numCache>
            </c:numRef>
          </c:val>
          <c:smooth val="0"/>
          <c:extLst>
            <c:ext xmlns:c16="http://schemas.microsoft.com/office/drawing/2014/chart" uri="{C3380CC4-5D6E-409C-BE32-E72D297353CC}">
              <c16:uniqueId val="{00000004-4A8B-4FE7-BC49-A3AAB44579E5}"/>
            </c:ext>
          </c:extLst>
        </c:ser>
        <c:dLbls>
          <c:showLegendKey val="0"/>
          <c:showVal val="0"/>
          <c:showCatName val="0"/>
          <c:showSerName val="0"/>
          <c:showPercent val="0"/>
          <c:showBubbleSize val="0"/>
        </c:dLbls>
        <c:smooth val="0"/>
        <c:axId val="309090560"/>
        <c:axId val="309445376"/>
      </c:lineChart>
      <c:catAx>
        <c:axId val="309090560"/>
        <c:scaling>
          <c:orientation val="minMax"/>
        </c:scaling>
        <c:delete val="0"/>
        <c:axPos val="b"/>
        <c:title>
          <c:tx>
            <c:rich>
              <a:bodyPr/>
              <a:lstStyle/>
              <a:p>
                <a:pPr>
                  <a:defRPr lang="fr-FR"/>
                </a:pPr>
                <a:r>
                  <a:rPr lang="fr-FR"/>
                  <a:t xml:space="preserve">Mois avec couvain</a:t>
                </a:r>
              </a:p>
            </c:rich>
          </c:tx>
          <c:overlay val="0"/>
        </c:title>
        <c:numFmt formatCode="General" sourceLinked="1"/>
        <c:majorTickMark val="out"/>
        <c:minorTickMark val="none"/>
        <c:tickLblPos val="nextTo"/>
        <c:crossAx val="309445376"/>
        <c:crosses val="autoZero"/>
        <c:auto val="1"/>
        <c:lblAlgn val="ctr"/>
        <c:lblOffset val="100"/>
        <c:noMultiLvlLbl val="0"/>
      </c:catAx>
      <c:valAx>
        <c:axId val="309445376"/>
        <c:scaling>
          <c:orientation val="minMax"/>
          <c:max val="100"/>
          <c:min val="0"/>
        </c:scaling>
        <c:delete val="0"/>
        <c:axPos val="l"/>
        <c:majorGridlines/>
        <c:title>
          <c:tx>
            <c:rich>
              <a:bodyPr rot="-5400000" vert="horz"/>
              <a:lstStyle/>
              <a:p>
                <a:pPr>
                  <a:defRPr sz="1200" b="0" lang="fr-FR"/>
                </a:pPr>
                <a:r>
                  <a:rPr lang="fr-FR" sz="1200" b="0"/>
                  <a:t xml:space="preserve">Facteur de multiplication de la population de varroas depuis le départ</a:t>
                </a:r>
              </a:p>
            </c:rich>
          </c:tx>
          <c:overlay val="0"/>
        </c:title>
        <c:numFmt formatCode="0&quot;x&quot;" sourceLinked="0"/>
        <c:majorTickMark val="out"/>
        <c:minorTickMark val="none"/>
        <c:tickLblPos val="nextTo"/>
        <c:crossAx val="309090560"/>
        <c:crosses val="autoZero"/>
        <c:crossBetween val="midCat"/>
      </c:valAx>
    </c:plotArea>
    <c:legend>
      <c:legendPos val="r"/>
      <c:layout>
        <c:manualLayout>
          <c:xMode val="edge"/>
          <c:yMode val="edge"/>
          <c:x val="0.16455795963263462"/>
          <c:y val="0.18956456727464085"/>
          <c:w val="0.27968656597838415"/>
          <c:h val="0.30844722320489587"/>
        </c:manualLayout>
      </c:layout>
      <c:overlay val="0"/>
      <c:spPr>
        <a:solidFill>
          <a:schemeClr val="bg1"/>
        </a:solidFill>
        <a:ln>
          <a:solidFill>
            <a:schemeClr val="tx1"/>
          </a:solidFill>
        </a:ln>
      </c:spPr>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a:t xml:space="preserve">Arrivées de varroas sélectionnées (immigration)</a:t>
            </a:r>
          </a:p>
        </c:rich>
      </c:tx>
      <c:overlay val="0"/>
    </c:title>
    <c:autoTitleDeleted val="0"/>
    <c:plotArea>
      <c:layout/>
      <c:lineChart>
        <c:grouping val="standard"/>
        <c:varyColors val="0"/>
        <c:ser>
          <c:idx val="0"/>
          <c:order val="0"/>
          <c:marker>
            <c:symbol val="circle"/>
            <c:size val="7"/>
            <c:spPr>
              <a:solidFill>
                <a:srgbClr val="C00000"/>
              </a:solidFill>
              <a:ln>
                <a:noFill/>
              </a:ln>
            </c:spPr>
          </c:marker>
          <c:cat>
            <c:numRef>
              <c:f>'Immigration de varroas'!$D$12:$D$35</c:f>
              <c:numCache>
                <c:formatCode>[$-40C]d\-mmm;@</c:formatCode>
                <c:ptCount val="24"/>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numCache>
            </c:numRef>
          </c:cat>
          <c:val>
            <c:numRef>
              <c:f>'Immigration de varroas'!$E$12:$E$35</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88A-48D0-B554-4CEFF9CB6EF0}"/>
            </c:ext>
          </c:extLst>
        </c:ser>
        <c:dLbls>
          <c:showLegendKey val="0"/>
          <c:showVal val="0"/>
          <c:showCatName val="0"/>
          <c:showSerName val="0"/>
          <c:showPercent val="0"/>
          <c:showBubbleSize val="0"/>
        </c:dLbls>
        <c:marker val="1"/>
        <c:smooth val="0"/>
        <c:axId val="416816512"/>
        <c:axId val="416880128"/>
      </c:lineChart>
      <c:dateAx>
        <c:axId val="416816512"/>
        <c:scaling>
          <c:orientation val="minMax"/>
        </c:scaling>
        <c:delete val="0"/>
        <c:axPos val="b"/>
        <c:numFmt formatCode="[$-40C]d\-mmm;@" sourceLinked="1"/>
        <c:majorTickMark val="out"/>
        <c:minorTickMark val="none"/>
        <c:tickLblPos val="nextTo"/>
        <c:crossAx val="416880128"/>
        <c:crosses val="autoZero"/>
        <c:auto val="1"/>
        <c:lblOffset val="100"/>
        <c:baseTimeUnit val="days"/>
      </c:dateAx>
      <c:valAx>
        <c:axId val="416880128"/>
        <c:scaling>
          <c:orientation val="minMax"/>
          <c:max val="600"/>
        </c:scaling>
        <c:delete val="0"/>
        <c:axPos val="l"/>
        <c:majorGridlines/>
        <c:title>
          <c:tx>
            <c:rich>
              <a:bodyPr rot="-5400000" vert="horz"/>
              <a:lstStyle/>
              <a:p>
                <a:pPr>
                  <a:defRPr lang="fr-FR"/>
                </a:pPr>
                <a:r>
                  <a:rPr lang="fr-FR"/>
                  <a:t xml:space="preserve">Varroas arrivés par période (immigration)</a:t>
                </a:r>
              </a:p>
            </c:rich>
          </c:tx>
          <c:overlay val="0"/>
        </c:title>
        <c:numFmt formatCode="General" sourceLinked="1"/>
        <c:majorTickMark val="out"/>
        <c:minorTickMark val="none"/>
        <c:tickLblPos val="nextTo"/>
        <c:crossAx val="416816512"/>
        <c:crosses val="autoZero"/>
        <c:crossBetween val="midCat"/>
      </c:valAx>
    </c:plotArea>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baseline="0"/>
              <a:t xml:space="preserve">Variation relative des populations de varroas et d’abeilles par intervalle de temps</a:t>
            </a:r>
            <a:endParaRPr lang="fr-FR"/>
          </a:p>
        </c:rich>
      </c:tx>
      <c:overlay val="0"/>
    </c:title>
    <c:autoTitleDeleted val="0"/>
    <c:plotArea>
      <c:layout>
        <c:manualLayout>
          <c:layoutTarget val="inner"/>
          <c:xMode val="edge"/>
          <c:yMode val="edge"/>
          <c:x val="0.12901539606399778"/>
          <c:y val="0.20043608201583815"/>
          <c:w val="0.60672016572641052"/>
          <c:h val="0.68850843966162567"/>
        </c:manualLayout>
      </c:layout>
      <c:lineChart>
        <c:grouping val="standard"/>
        <c:varyColors val="0"/>
        <c:ser>
          <c:idx val="0"/>
          <c:order val="0"/>
          <c:tx>
            <c:strRef>
              <c:f>'Croissance comparée'!$I$29</c:f>
              <c:strCache>
                <c:ptCount val="1"/>
                <c:pt idx="0">
                  <c:v>Variation de la population de varroas (%)</c:v>
                </c:pt>
              </c:strCache>
            </c:strRef>
          </c:tx>
          <c:spPr>
            <a:ln>
              <a:solidFill>
                <a:srgbClr val="FF0000"/>
              </a:solidFill>
            </a:ln>
          </c:spPr>
          <c:marker>
            <c:symbol val="circle"/>
            <c:size val="5"/>
            <c:spPr>
              <a:solidFill>
                <a:srgbClr val="FF0000"/>
              </a:solidFill>
              <a:ln>
                <a:noFill/>
              </a:ln>
            </c:spPr>
          </c:marker>
          <c:cat>
            <c:numRef>
              <c:f>'Croissance comparée'!$H$30:$H$55</c:f>
              <c:numCache>
                <c:formatCode>[$-40C]d\-mmm;@</c:formatCode>
                <c:ptCount val="26"/>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'Croissance comparée'!$I$30:$I$55</c:f>
              <c:numCache>
                <c:formatCode>General</c:formatCode>
                <c:ptCount val="26"/>
                <c:pt idx="1">
                  <c:v>-7.3399166893701517E-2</c:v>
                </c:pt>
                <c:pt idx="2">
                  <c:v>8.2678537267374175E-2</c:v>
                </c:pt>
                <c:pt idx="3">
                  <c:v>0.24022442086289875</c:v>
                </c:pt>
                <c:pt idx="4">
                  <c:v>0.27531034860799775</c:v>
                </c:pt>
                <c:pt idx="5">
                  <c:v>0.32741472828231521</c:v>
                </c:pt>
                <c:pt idx="6">
                  <c:v>0.42573398958208419</c:v>
                </c:pt>
                <c:pt idx="7">
                  <c:v>0.58269572589951157</c:v>
                </c:pt>
                <c:pt idx="8">
                  <c:v>0.59300241825215649</c:v>
                </c:pt>
                <c:pt idx="9">
                  <c:v>0.57714240007914941</c:v>
                </c:pt>
                <c:pt idx="10">
                  <c:v>0.52848150336673139</c:v>
                </c:pt>
                <c:pt idx="11">
                  <c:v>0.48413856939020383</c:v>
                </c:pt>
                <c:pt idx="12">
                  <c:v>0.42579921627760076</c:v>
                </c:pt>
                <c:pt idx="13">
                  <c:v>0.39256351892076902</c:v>
                </c:pt>
                <c:pt idx="14">
                  <c:v>0.34442076467272242</c:v>
                </c:pt>
                <c:pt idx="15">
                  <c:v>0.32637373539532266</c:v>
                </c:pt>
                <c:pt idx="16">
                  <c:v>-0.7434891551595173</c:v>
                </c:pt>
                <c:pt idx="17">
                  <c:v>0.24077694771912084</c:v>
                </c:pt>
                <c:pt idx="18">
                  <c:v>0.2806367147507145</c:v>
                </c:pt>
                <c:pt idx="19">
                  <c:v>0.16069798056645235</c:v>
                </c:pt>
                <c:pt idx="20">
                  <c:v>-0.25087983765329003</c:v>
                </c:pt>
                <c:pt idx="21">
                  <c:v>-0.22700694680951983</c:v>
                </c:pt>
                <c:pt idx="22">
                  <c:v>-0.1138473035945976</c:v>
                </c:pt>
                <c:pt idx="23">
                  <c:v>0</c:v>
                </c:pt>
                <c:pt idx="24">
                  <c:v>0</c:v>
                </c:pt>
              </c:numCache>
            </c:numRef>
          </c:val>
          <c:smooth val="0"/>
          <c:extLst>
            <c:ext xmlns:c16="http://schemas.microsoft.com/office/drawing/2014/chart" uri="{C3380CC4-5D6E-409C-BE32-E72D297353CC}">
              <c16:uniqueId val="{00000000-131D-43A8-B51E-E1CD716FE49A}"/>
            </c:ext>
          </c:extLst>
        </c:ser>
        <c:ser>
          <c:idx val="1"/>
          <c:order val="1"/>
          <c:tx>
            <c:strRef>
              <c:f>'Croissance comparée'!$J$29</c:f>
              <c:strCache>
                <c:ptCount val="1"/>
                <c:pt idx="0">
                  <c:v>% de variation de la population d’abeilles</c:v>
                </c:pt>
              </c:strCache>
            </c:strRef>
          </c:tx>
          <c:spPr>
            <a:ln>
              <a:solidFill>
                <a:srgbClr val="FFC000"/>
              </a:solidFill>
            </a:ln>
          </c:spPr>
          <c:marker>
            <c:symbol val="circle"/>
            <c:size val="5"/>
            <c:spPr>
              <a:solidFill>
                <a:srgbClr val="FFC000"/>
              </a:solidFill>
              <a:ln>
                <a:noFill/>
              </a:ln>
            </c:spPr>
          </c:marker>
          <c:cat>
            <c:numRef>
              <c:f>'Croissance comparée'!$H$30:$H$55</c:f>
              <c:numCache>
                <c:formatCode>[$-40C]d\-mmm;@</c:formatCode>
                <c:ptCount val="26"/>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'Croissance comparée'!$J$30:$J$55</c:f>
              <c:numCache>
                <c:formatCode>#,##0.000</c:formatCode>
                <c:ptCount val="26"/>
                <c:pt idx="1">
                  <c:v>0</c:v>
                </c:pt>
                <c:pt idx="2">
                  <c:v>0</c:v>
                </c:pt>
                <c:pt idx="3">
                  <c:v>-0.125</c:v>
                </c:pt>
                <c:pt idx="4">
                  <c:v>0</c:v>
                </c:pt>
                <c:pt idx="5">
                  <c:v>-0.1428571428571429</c:v>
                </c:pt>
                <c:pt idx="6">
                  <c:v>0</c:v>
                </c:pt>
                <c:pt idx="7">
                  <c:v>0.33333333333333326</c:v>
                </c:pt>
                <c:pt idx="8">
                  <c:v>0.375</c:v>
                </c:pt>
                <c:pt idx="9">
                  <c:v>0.36363636363636354</c:v>
                </c:pt>
                <c:pt idx="10">
                  <c:v>0.26666666666666661</c:v>
                </c:pt>
                <c:pt idx="11">
                  <c:v>0.15789473684210531</c:v>
                </c:pt>
                <c:pt idx="12">
                  <c:v>9.0909090909090828E-2</c:v>
                </c:pt>
                <c:pt idx="13">
                  <c:v>4.1666666666666741E-2</c:v>
                </c:pt>
                <c:pt idx="14">
                  <c:v>0</c:v>
                </c:pt>
                <c:pt idx="15">
                  <c:v>-0.12</c:v>
                </c:pt>
                <c:pt idx="16">
                  <c:v>-0.13636363636363635</c:v>
                </c:pt>
                <c:pt idx="17">
                  <c:v>-0.15789473684210531</c:v>
                </c:pt>
                <c:pt idx="18">
                  <c:v>-6.25E-2</c:v>
                </c:pt>
                <c:pt idx="19">
                  <c:v>-0.19999999999999996</c:v>
                </c:pt>
                <c:pt idx="20">
                  <c:v>-0.25</c:v>
                </c:pt>
                <c:pt idx="21">
                  <c:v>-5.555555555555558E-2</c:v>
                </c:pt>
                <c:pt idx="22">
                  <c:v>-2.9411764705882359E-2</c:v>
                </c:pt>
                <c:pt idx="23">
                  <c:v>-3.0303030303030276E-2</c:v>
                </c:pt>
                <c:pt idx="24">
                  <c:v>0</c:v>
                </c:pt>
              </c:numCache>
            </c:numRef>
          </c:val>
          <c:smooth val="0"/>
          <c:extLst>
            <c:ext xmlns:c16="http://schemas.microsoft.com/office/drawing/2014/chart" uri="{C3380CC4-5D6E-409C-BE32-E72D297353CC}">
              <c16:uniqueId val="{00000001-131D-43A8-B51E-E1CD716FE49A}"/>
            </c:ext>
          </c:extLst>
        </c:ser>
        <c:dLbls>
          <c:showLegendKey val="0"/>
          <c:showVal val="0"/>
          <c:showCatName val="0"/>
          <c:showSerName val="0"/>
          <c:showPercent val="0"/>
          <c:showBubbleSize val="0"/>
        </c:dLbls>
        <c:marker val="1"/>
        <c:smooth val="0"/>
        <c:axId val="417126656"/>
        <c:axId val="417132928"/>
      </c:lineChart>
      <c:dateAx>
        <c:axId val="417126656"/>
        <c:scaling>
          <c:orientation val="minMax"/>
        </c:scaling>
        <c:delete val="0"/>
        <c:axPos val="b"/>
        <c:numFmt formatCode="[$-40C]d\-mmm;@" sourceLinked="1"/>
        <c:majorTickMark val="out"/>
        <c:minorTickMark val="none"/>
        <c:tickLblPos val="low"/>
        <c:crossAx val="417132928"/>
        <c:crosses val="autoZero"/>
        <c:auto val="1"/>
        <c:lblOffset val="100"/>
        <c:baseTimeUnit val="days"/>
      </c:dateAx>
      <c:valAx>
        <c:axId val="417132928"/>
        <c:scaling>
          <c:orientation val="minMax"/>
          <c:max val="0.8"/>
          <c:min val="-0.4"/>
        </c:scaling>
        <c:delete val="0"/>
        <c:axPos val="l"/>
        <c:majorGridlines/>
        <c:title>
          <c:tx>
            <c:rich>
              <a:bodyPr rot="-5400000" vert="horz"/>
              <a:lstStyle/>
              <a:p>
                <a:pPr>
                  <a:defRPr sz="1100" b="0" lang="fr-FR"/>
                </a:pPr>
                <a:r>
                  <a:rPr lang="fr-FR" sz="1100" b="1"/>
                  <a:t xml:space="preserve">Variation de la population en pourcentage pendant la période</a:t>
                </a:r>
              </a:p>
            </c:rich>
          </c:tx>
          <c:overlay val="0"/>
        </c:title>
        <c:numFmt formatCode="0%" sourceLinked="0"/>
        <c:majorTickMark val="out"/>
        <c:minorTickMark val="none"/>
        <c:tickLblPos val="nextTo"/>
        <c:crossAx val="417126656"/>
        <c:crosses val="autoZero"/>
        <c:crossBetween val="midCat"/>
      </c:valAx>
    </c:plotArea>
    <c:legend>
      <c:legendPos val="r"/>
      <c:layout>
        <c:manualLayout>
          <c:xMode val="edge"/>
          <c:yMode val="edge"/>
          <c:x val="0.3678582061205844"/>
          <c:y val="0.19793238139728608"/>
          <c:w val="0.37246127154575043"/>
          <c:h val="0.11903755776060516"/>
        </c:manualLayout>
      </c:layout>
      <c:overlay val="0"/>
      <c:spPr>
        <a:noFill/>
      </c:spPr>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54029872446247"/>
          <c:y val="0.26682019427003761"/>
          <c:w val="0.68047390446079281"/>
          <c:h val="0.5713791834413231"/>
        </c:manualLayout>
      </c:layout>
      <c:lineChart>
        <c:grouping val="standard"/>
        <c:varyColors val="0"/>
        <c:ser>
          <c:idx val="0"/>
          <c:order val="1"/>
          <c:tx>
            <c:v>Population de varroas dans la ruche</c:v>
          </c:tx>
          <c:spPr>
            <a:ln>
              <a:solidFill>
                <a:srgbClr val="FF0000"/>
              </a:solidFill>
            </a:ln>
          </c:spPr>
          <c:marker>
            <c:symbol val="circle"/>
            <c:size val="5"/>
            <c:spPr>
              <a:solidFill>
                <a:srgbClr val="FF0000"/>
              </a:solidFill>
              <a:ln>
                <a:noFill/>
              </a:ln>
            </c:spPr>
          </c:marker>
          <c:cat>
            <c:numRef>
              <c:f>'Modèle principal'!$BA$5:$BA$29</c:f>
              <c:numCache>
                <c:formatCode>d\ 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principal'!$BB$5:$BB$29</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1825.1496160378006</c:v>
                </c:pt>
                <c:pt idx="11">
                  <c:v>2708.7749400694211</c:v>
                </c:pt>
                <c:pt idx="12">
                  <c:v>3862.1691866233855</c:v>
                </c:pt>
                <c:pt idx="13">
                  <c:v>5378.3159131916264</c:v>
                </c:pt>
                <c:pt idx="14">
                  <c:v>7230.7195926645572</c:v>
                </c:pt>
                <c:pt idx="15">
                  <c:v>9590.6365557186346</c:v>
                </c:pt>
                <c:pt idx="16">
                  <c:v>2460.1022854654038</c:v>
                </c:pt>
                <c:pt idx="17">
                  <c:v>3052.4382048365969</c:v>
                </c:pt>
                <c:pt idx="18">
                  <c:v>3909.0644346215081</c:v>
                </c:pt>
                <c:pt idx="19">
                  <c:v>4537.2431951693252</c:v>
                </c:pt>
                <c:pt idx="20">
                  <c:v>3398.9403589717499</c:v>
                </c:pt>
                <c:pt idx="21">
                  <c:v>2627.3572856939195</c:v>
                </c:pt>
                <c:pt idx="22">
                  <c:v>2328.2397431380459</c:v>
                </c:pt>
                <c:pt idx="23">
                  <c:v>0</c:v>
                </c:pt>
                <c:pt idx="24">
                  <c:v>0</c:v>
                </c:pt>
              </c:numCache>
            </c:numRef>
          </c:val>
          <c:smooth val="0"/>
          <c:extLst>
            <c:ext xmlns:c16="http://schemas.microsoft.com/office/drawing/2014/chart" uri="{C3380CC4-5D6E-409C-BE32-E72D297353CC}">
              <c16:uniqueId val="{00000000-0B4D-42A2-AE92-693FF56E4EFC}"/>
            </c:ext>
          </c:extLst>
        </c:ser>
        <c:dLbls>
          <c:showLegendKey val="0"/>
          <c:showVal val="0"/>
          <c:showCatName val="0"/>
          <c:showSerName val="0"/>
          <c:showPercent val="0"/>
          <c:showBubbleSize val="0"/>
        </c:dLbls>
        <c:marker val="1"/>
        <c:smooth val="0"/>
        <c:axId val="417156096"/>
        <c:axId val="417158272"/>
      </c:lineChart>
      <c:lineChart>
        <c:grouping val="standard"/>
        <c:varyColors val="0"/>
        <c:ser>
          <c:idx val="1"/>
          <c:order val="0"/>
          <c:tx>
            <c:v>Taux d’accroissement de la population de varroas</c:v>
          </c:tx>
          <c:spPr>
            <a:ln>
              <a:solidFill>
                <a:schemeClr val="tx1"/>
              </a:solidFill>
            </a:ln>
          </c:spPr>
          <c:marker>
            <c:symbol val="circle"/>
            <c:size val="6"/>
            <c:spPr>
              <a:solidFill>
                <a:schemeClr val="tx1"/>
              </a:solidFill>
              <a:ln>
                <a:noFill/>
              </a:ln>
            </c:spPr>
          </c:marker>
          <c:cat>
            <c:strRef>
              <c:f>'Croissance comparée'!#REF!</c:f>
              <c:strCache>
                <c:ptCount val="1"/>
                <c:pt idx="0">
                  <c:v>#REF!</c:v>
                </c:pt>
              </c:strCache>
            </c:strRef>
          </c:cat>
          <c:val>
            <c:numRef>
              <c:f>'Modèle principal'!$BC$5:$BC$29</c:f>
              <c:numCache>
                <c:formatCode>0.000</c:formatCode>
                <c:ptCount val="25"/>
                <c:pt idx="0">
                  <c:v>-5.0125418235442759E-3</c:v>
                </c:pt>
                <c:pt idx="1">
                  <c:v>5.2233269783675549E-3</c:v>
                </c:pt>
                <c:pt idx="2">
                  <c:v>1.4156209170941484E-2</c:v>
                </c:pt>
                <c:pt idx="3">
                  <c:v>1.5990546388849801E-2</c:v>
                </c:pt>
                <c:pt idx="4">
                  <c:v>1.862355532637135E-2</c:v>
                </c:pt>
                <c:pt idx="5">
                  <c:v>2.3321869250677113E-2</c:v>
                </c:pt>
                <c:pt idx="6">
                  <c:v>3.018934019778817E-2</c:v>
                </c:pt>
                <c:pt idx="7">
                  <c:v>3.0616145686081425E-2</c:v>
                </c:pt>
                <c:pt idx="8">
                  <c:v>2.9958220404736884E-2</c:v>
                </c:pt>
                <c:pt idx="9">
                  <c:v>2.7897518538664345E-2</c:v>
                </c:pt>
                <c:pt idx="10">
                  <c:v>2.5961721599068045E-2</c:v>
                </c:pt>
                <c:pt idx="11">
                  <c:v>2.33248773717828E-2</c:v>
                </c:pt>
                <c:pt idx="12">
                  <c:v>2.1774003734982578E-2</c:v>
                </c:pt>
                <c:pt idx="13">
                  <c:v>1.9460598053129913E-2</c:v>
                </c:pt>
                <c:pt idx="14">
                  <c:v>1.8571969563744399E-2</c:v>
                </c:pt>
                <c:pt idx="15">
                  <c:v>-8.9463079573823712E-2</c:v>
                </c:pt>
                <c:pt idx="16">
                  <c:v>1.4185496162937988E-2</c:v>
                </c:pt>
                <c:pt idx="17">
                  <c:v>1.6264595352430109E-2</c:v>
                </c:pt>
                <c:pt idx="18">
                  <c:v>9.7986760471128406E-3</c:v>
                </c:pt>
                <c:pt idx="19">
                  <c:v>-1.8993263208529568E-2</c:v>
                </c:pt>
                <c:pt idx="20">
                  <c:v>-1.6930534833012781E-2</c:v>
                </c:pt>
                <c:pt idx="21">
                  <c:v>-7.9473534018946572E-3</c:v>
                </c:pt>
                <c:pt idx="22">
                  <c:v>-6.530785961764483E-3</c:v>
                </c:pt>
                <c:pt idx="23">
                  <c:v>0</c:v>
                </c:pt>
                <c:pt idx="24">
                  <c:v>0</c:v>
                </c:pt>
              </c:numCache>
            </c:numRef>
          </c:val>
          <c:smooth val="0"/>
          <c:extLst>
            <c:ext xmlns:c16="http://schemas.microsoft.com/office/drawing/2014/chart" uri="{C3380CC4-5D6E-409C-BE32-E72D297353CC}">
              <c16:uniqueId val="{00000001-0B4D-42A2-AE92-693FF56E4EFC}"/>
            </c:ext>
          </c:extLst>
        </c:ser>
        <c:dLbls>
          <c:showLegendKey val="0"/>
          <c:showVal val="0"/>
          <c:showCatName val="0"/>
          <c:showSerName val="0"/>
          <c:showPercent val="0"/>
          <c:showBubbleSize val="0"/>
        </c:dLbls>
        <c:marker val="1"/>
        <c:smooth val="0"/>
        <c:axId val="417174656"/>
        <c:axId val="417160192"/>
      </c:lineChart>
      <c:dateAx>
        <c:axId val="417156096"/>
        <c:scaling>
          <c:orientation val="minMax"/>
        </c:scaling>
        <c:delete val="0"/>
        <c:axPos val="b"/>
        <c:numFmt formatCode="d\ mmm" sourceLinked="1"/>
        <c:majorTickMark val="out"/>
        <c:minorTickMark val="none"/>
        <c:tickLblPos val="nextTo"/>
        <c:txPr>
          <a:bodyPr rot="0" vert="horz"/>
          <a:lstStyle/>
          <a:p>
            <a:pPr>
              <a:defRPr lang="fr-FR"/>
            </a:pPr>
            <a:endParaRPr lang="fr-FR"/>
          </a:p>
        </c:txPr>
        <c:crossAx val="417158272"/>
        <c:crosses val="autoZero"/>
        <c:auto val="1"/>
        <c:lblOffset val="100"/>
        <c:baseTimeUnit val="days"/>
      </c:dateAx>
      <c:valAx>
        <c:axId val="417158272"/>
        <c:scaling>
          <c:orientation val="minMax"/>
        </c:scaling>
        <c:delete val="0"/>
        <c:axPos val="l"/>
        <c:majorGridlines/>
        <c:title>
          <c:tx>
            <c:rich>
              <a:bodyPr rot="-5400000" vert="horz"/>
              <a:lstStyle/>
              <a:p>
                <a:pPr>
                  <a:defRPr sz="1200" b="0" lang="fr-FR"/>
                </a:pPr>
                <a:r>
                  <a:rPr lang="fr-FR" sz="1200" b="0"/>
                  <a:t xml:space="preserve">Nombre de varroas</a:t>
                </a:r>
              </a:p>
            </c:rich>
          </c:tx>
          <c:overlay val="0"/>
        </c:title>
        <c:numFmt formatCode="#,##0" sourceLinked="1"/>
        <c:majorTickMark val="out"/>
        <c:minorTickMark val="none"/>
        <c:tickLblPos val="nextTo"/>
        <c:crossAx val="417156096"/>
        <c:crosses val="autoZero"/>
        <c:crossBetween val="midCat"/>
      </c:valAx>
      <c:valAx>
        <c:axId val="417160192"/>
        <c:scaling>
          <c:orientation val="minMax"/>
        </c:scaling>
        <c:delete val="0"/>
        <c:axPos val="r"/>
        <c:title>
          <c:tx>
            <c:rich>
              <a:bodyPr rot="-5400000" vert="horz"/>
              <a:lstStyle/>
              <a:p>
                <a:pPr>
                  <a:defRPr sz="1200" b="0" lang="fr-FR"/>
                </a:pPr>
                <a:r>
                  <a:rPr lang="fr-FR" sz="1200" b="0"/>
                  <a:t xml:space="preserve">Taux quotidien d’augmentation</a:t>
                </a:r>
              </a:p>
            </c:rich>
          </c:tx>
          <c:overlay val="0"/>
        </c:title>
        <c:numFmt formatCode="0.000" sourceLinked="1"/>
        <c:majorTickMark val="out"/>
        <c:minorTickMark val="none"/>
        <c:tickLblPos val="nextTo"/>
        <c:crossAx val="417174656"/>
        <c:crosses val="max"/>
        <c:crossBetween val="between"/>
      </c:valAx>
      <c:catAx>
        <c:axId val="417174656"/>
        <c:scaling>
          <c:orientation val="minMax"/>
        </c:scaling>
        <c:delete val="1"/>
        <c:axPos val="b"/>
        <c:numFmt formatCode="General" sourceLinked="1"/>
        <c:majorTickMark val="out"/>
        <c:minorTickMark val="none"/>
        <c:tickLblPos val="none"/>
        <c:crossAx val="417160192"/>
        <c:crosses val="autoZero"/>
        <c:auto val="1"/>
        <c:lblAlgn val="ctr"/>
        <c:lblOffset val="100"/>
        <c:noMultiLvlLbl val="1"/>
      </c:catAx>
    </c:plotArea>
    <c:legend>
      <c:legendPos val="r"/>
      <c:layout>
        <c:manualLayout>
          <c:xMode val="edge"/>
          <c:yMode val="edge"/>
          <c:x val="0.29176259261948018"/>
          <c:y val="0.49600406667054864"/>
          <c:w val="0.23521057537213991"/>
          <c:h val="0.10169023208671259"/>
        </c:manualLayout>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951751742301969"/>
          <c:y val="4.3667727374786122E-2"/>
          <c:w val="0.77464173422335103"/>
          <c:h val="0.85664022664122819"/>
        </c:manualLayout>
      </c:layout>
      <c:areaChart>
        <c:grouping val="standard"/>
        <c:varyColors val="0"/>
        <c:ser>
          <c:idx val="1"/>
          <c:order val="0"/>
          <c:tx>
            <c:v>Population d’abeilles adultes</c:v>
          </c:tx>
          <c:spPr>
            <a:solidFill>
              <a:srgbClr val="FFE593"/>
            </a:solidFill>
            <a:ln>
              <a:solidFill>
                <a:srgbClr val="FFC000"/>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principal'!$BR$5:$BR$29</c:f>
              <c:numCache>
                <c:formatCode>General</c:formatCode>
                <c:ptCount val="25"/>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8">
                  <c:v>30000</c:v>
                </c:pt>
                <c:pt idx="19">
                  <c:v>24000</c:v>
                </c:pt>
                <c:pt idx="20">
                  <c:v>18000</c:v>
                </c:pt>
                <c:pt idx="21">
                  <c:v>17000</c:v>
                </c:pt>
                <c:pt idx="22">
                  <c:v>16500</c:v>
                </c:pt>
                <c:pt idx="23">
                  <c:v>16000</c:v>
                </c:pt>
                <c:pt idx="24">
                  <c:v>16000</c:v>
                </c:pt>
              </c:numCache>
            </c:numRef>
          </c:val>
          <c:extLst>
            <c:ext xmlns:c16="http://schemas.microsoft.com/office/drawing/2014/chart" uri="{C3380CC4-5D6E-409C-BE32-E72D297353CC}">
              <c16:uniqueId val="{00000000-3FFC-4BA9-8791-006B6BA6D5AF}"/>
            </c:ext>
          </c:extLst>
        </c:ser>
        <c:ser>
          <c:idx val="2"/>
          <c:order val="2"/>
          <c:tx>
            <c:v>Nombre total de nymphes</c:v>
          </c:tx>
          <c:spPr>
            <a:solidFill>
              <a:srgbClr val="FFC000"/>
            </a:solidFill>
            <a:ln w="12700">
              <a:solidFill>
                <a:schemeClr val="accent6"/>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principal'!$BV$5:$BV$29</c:f>
              <c:numCache>
                <c:formatCode>General</c:formatCode>
                <c:ptCount val="25"/>
                <c:pt idx="0">
                  <c:v>0.6</c:v>
                </c:pt>
                <c:pt idx="1">
                  <c:v>675</c:v>
                </c:pt>
                <c:pt idx="2">
                  <c:v>891</c:v>
                </c:pt>
                <c:pt idx="3">
                  <c:v>2025</c:v>
                </c:pt>
                <c:pt idx="4">
                  <c:v>2700</c:v>
                </c:pt>
                <c:pt idx="5">
                  <c:v>5400</c:v>
                </c:pt>
                <c:pt idx="6">
                  <c:v>8100</c:v>
                </c:pt>
                <c:pt idx="7">
                  <c:v>13500</c:v>
                </c:pt>
                <c:pt idx="8">
                  <c:v>16200</c:v>
                </c:pt>
                <c:pt idx="9">
                  <c:v>17550</c:v>
                </c:pt>
                <c:pt idx="10">
                  <c:v>18900</c:v>
                </c:pt>
                <c:pt idx="11">
                  <c:v>17550</c:v>
                </c:pt>
                <c:pt idx="12">
                  <c:v>16200</c:v>
                </c:pt>
                <c:pt idx="13">
                  <c:v>13500</c:v>
                </c:pt>
                <c:pt idx="14">
                  <c:v>12150</c:v>
                </c:pt>
                <c:pt idx="15">
                  <c:v>10800</c:v>
                </c:pt>
                <c:pt idx="16">
                  <c:v>9450</c:v>
                </c:pt>
                <c:pt idx="17">
                  <c:v>10800</c:v>
                </c:pt>
                <c:pt idx="18">
                  <c:v>5400</c:v>
                </c:pt>
                <c:pt idx="19">
                  <c:v>1350</c:v>
                </c:pt>
                <c:pt idx="20">
                  <c:v>675</c:v>
                </c:pt>
                <c:pt idx="21">
                  <c:v>337.5</c:v>
                </c:pt>
                <c:pt idx="22">
                  <c:v>270</c:v>
                </c:pt>
                <c:pt idx="23">
                  <c:v>0.6</c:v>
                </c:pt>
                <c:pt idx="24">
                  <c:v>337.5</c:v>
                </c:pt>
              </c:numCache>
            </c:numRef>
          </c:val>
          <c:extLst>
            <c:ext xmlns:c16="http://schemas.microsoft.com/office/drawing/2014/chart" uri="{C3380CC4-5D6E-409C-BE32-E72D297353CC}">
              <c16:uniqueId val="{00000001-3FFC-4BA9-8791-006B6BA6D5AF}"/>
            </c:ext>
          </c:extLst>
        </c:ser>
        <c:ser>
          <c:idx val="6"/>
          <c:order val="3"/>
          <c:tx>
            <c:v>Nymphes parasitées</c:v>
          </c:tx>
          <c:spPr>
            <a:solidFill>
              <a:srgbClr val="FF0000">
                <a:alpha val="50000"/>
              </a:srgbClr>
            </a:solidFill>
            <a:ln w="12700">
              <a:solidFill>
                <a:srgbClr val="FF0000"/>
              </a:solidFill>
              <a:prstDash val="solid"/>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principal'!$BW$5:$BW$29</c:f>
              <c:numCache>
                <c:formatCode>0</c:formatCode>
                <c:ptCount val="25"/>
                <c:pt idx="0">
                  <c:v>0</c:v>
                </c:pt>
                <c:pt idx="1">
                  <c:v>35.747175646525996</c:v>
                </c:pt>
                <c:pt idx="2">
                  <c:v>40.716517047775838</c:v>
                </c:pt>
                <c:pt idx="3">
                  <c:v>60.9809465685221</c:v>
                </c:pt>
                <c:pt idx="4">
                  <c:v>82.681464489428109</c:v>
                </c:pt>
                <c:pt idx="5">
                  <c:v>135.35432352785415</c:v>
                </c:pt>
                <c:pt idx="6">
                  <c:v>199.88078715942584</c:v>
                </c:pt>
                <c:pt idx="7">
                  <c:v>309.7128168787234</c:v>
                </c:pt>
                <c:pt idx="8">
                  <c:v>470.87671267362936</c:v>
                </c:pt>
                <c:pt idx="9">
                  <c:v>689.12202094963266</c:v>
                </c:pt>
                <c:pt idx="10">
                  <c:v>1030.3707694003156</c:v>
                </c:pt>
                <c:pt idx="11">
                  <c:v>1420.5481302330581</c:v>
                </c:pt>
                <c:pt idx="12">
                  <c:v>1902.0879601168067</c:v>
                </c:pt>
                <c:pt idx="13">
                  <c:v>2420.8070715111312</c:v>
                </c:pt>
                <c:pt idx="14">
                  <c:v>3040.2091487330536</c:v>
                </c:pt>
                <c:pt idx="15">
                  <c:v>3779.559641126008</c:v>
                </c:pt>
                <c:pt idx="16">
                  <c:v>1221.2725059464972</c:v>
                </c:pt>
                <c:pt idx="17">
                  <c:v>1613.2254870631184</c:v>
                </c:pt>
                <c:pt idx="18">
                  <c:v>1697.3918452984603</c:v>
                </c:pt>
                <c:pt idx="19">
                  <c:v>1016.6456832852436</c:v>
                </c:pt>
                <c:pt idx="20">
                  <c:v>579.71775358442017</c:v>
                </c:pt>
                <c:pt idx="21">
                  <c:v>315.79671279476065</c:v>
                </c:pt>
                <c:pt idx="22">
                  <c:v>255.94868717474108</c:v>
                </c:pt>
                <c:pt idx="23">
                  <c:v>0</c:v>
                </c:pt>
                <c:pt idx="24">
                  <c:v>291.42008353492895</c:v>
                </c:pt>
              </c:numCache>
            </c:numRef>
          </c:val>
          <c:extLst>
            <c:ext xmlns:c16="http://schemas.microsoft.com/office/drawing/2014/chart" uri="{C3380CC4-5D6E-409C-BE32-E72D297353CC}">
              <c16:uniqueId val="{00000002-3FFC-4BA9-8791-006B6BA6D5AF}"/>
            </c:ext>
          </c:extLst>
        </c:ser>
        <c:dLbls>
          <c:showLegendKey val="0"/>
          <c:showVal val="0"/>
          <c:showCatName val="0"/>
          <c:showSerName val="0"/>
          <c:showPercent val="0"/>
          <c:showBubbleSize val="0"/>
        </c:dLbls>
        <c:axId val="417448704"/>
        <c:axId val="417450240"/>
      </c:areaChart>
      <c:areaChart>
        <c:grouping val="standard"/>
        <c:varyColors val="0"/>
        <c:ser>
          <c:idx val="9"/>
          <c:order val="9"/>
          <c:tx>
            <c:v>Effondrement</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3-3FFC-4BA9-8791-006B6BA6D5AF}"/>
            </c:ext>
          </c:extLst>
        </c:ser>
        <c:ser>
          <c:idx val="10"/>
          <c:order val="10"/>
          <c:tx>
            <c:v>Effondrement hivernal</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4-3FFC-4BA9-8791-006B6BA6D5AF}"/>
            </c:ext>
          </c:extLst>
        </c:ser>
        <c:dLbls>
          <c:showLegendKey val="0"/>
          <c:showVal val="0"/>
          <c:showCatName val="0"/>
          <c:showSerName val="0"/>
          <c:showPercent val="0"/>
          <c:showBubbleSize val="0"/>
        </c:dLbls>
        <c:axId val="417466624"/>
        <c:axId val="417464704"/>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0.10456963698887521"/>
                  <c:y val="2.2789636995775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FC-4BA9-8791-006B6BA6D5AF}"/>
                </c:ext>
              </c:extLst>
            </c:dLbl>
            <c:dLbl>
              <c:idx val="1"/>
              <c:delete val="1"/>
              <c:extLst>
                <c:ext xmlns:c15="http://schemas.microsoft.com/office/drawing/2012/chart" uri="{CE6537A1-D6FC-4f65-9D91-7224C49458BB}"/>
                <c:ext xmlns:c16="http://schemas.microsoft.com/office/drawing/2014/chart" uri="{C3380CC4-5D6E-409C-BE32-E72D297353CC}">
                  <c16:uniqueId val="{00000006-3FFC-4BA9-8791-006B6BA6D5AF}"/>
                </c:ext>
              </c:extLst>
            </c:dLbl>
            <c:dLbl>
              <c:idx val="2"/>
              <c:delete val="1"/>
              <c:extLst>
                <c:ext xmlns:c15="http://schemas.microsoft.com/office/drawing/2012/chart" uri="{CE6537A1-D6FC-4f65-9D91-7224C49458BB}"/>
                <c:ext xmlns:c16="http://schemas.microsoft.com/office/drawing/2014/chart" uri="{C3380CC4-5D6E-409C-BE32-E72D297353CC}">
                  <c16:uniqueId val="{00000007-3FFC-4BA9-8791-006B6BA6D5AF}"/>
                </c:ext>
              </c:extLst>
            </c:dLbl>
            <c:dLbl>
              <c:idx val="3"/>
              <c:delete val="1"/>
              <c:extLst>
                <c:ext xmlns:c15="http://schemas.microsoft.com/office/drawing/2012/chart" uri="{CE6537A1-D6FC-4f65-9D91-7224C49458BB}"/>
                <c:ext xmlns:c16="http://schemas.microsoft.com/office/drawing/2014/chart" uri="{C3380CC4-5D6E-409C-BE32-E72D297353CC}">
                  <c16:uniqueId val="{00000008-3FFC-4BA9-8791-006B6BA6D5AF}"/>
                </c:ext>
              </c:extLst>
            </c:dLbl>
            <c:dLbl>
              <c:idx val="4"/>
              <c:delete val="1"/>
              <c:extLst>
                <c:ext xmlns:c15="http://schemas.microsoft.com/office/drawing/2012/chart" uri="{CE6537A1-D6FC-4f65-9D91-7224C49458BB}"/>
                <c:ext xmlns:c16="http://schemas.microsoft.com/office/drawing/2014/chart" uri="{C3380CC4-5D6E-409C-BE32-E72D297353CC}">
                  <c16:uniqueId val="{00000009-3FFC-4BA9-8791-006B6BA6D5AF}"/>
                </c:ext>
              </c:extLst>
            </c:dLbl>
            <c:dLbl>
              <c:idx val="5"/>
              <c:delete val="1"/>
              <c:extLst>
                <c:ext xmlns:c15="http://schemas.microsoft.com/office/drawing/2012/chart" uri="{CE6537A1-D6FC-4f65-9D91-7224C49458BB}"/>
                <c:ext xmlns:c16="http://schemas.microsoft.com/office/drawing/2014/chart" uri="{C3380CC4-5D6E-409C-BE32-E72D297353CC}">
                  <c16:uniqueId val="{0000000A-3FFC-4BA9-8791-006B6BA6D5AF}"/>
                </c:ext>
              </c:extLst>
            </c:dLbl>
            <c:dLbl>
              <c:idx val="6"/>
              <c:delete val="1"/>
              <c:extLst>
                <c:ext xmlns:c15="http://schemas.microsoft.com/office/drawing/2012/chart" uri="{CE6537A1-D6FC-4f65-9D91-7224C49458BB}"/>
                <c:ext xmlns:c16="http://schemas.microsoft.com/office/drawing/2014/chart" uri="{C3380CC4-5D6E-409C-BE32-E72D297353CC}">
                  <c16:uniqueId val="{0000000B-3FFC-4BA9-8791-006B6BA6D5AF}"/>
                </c:ext>
              </c:extLst>
            </c:dLbl>
            <c:dLbl>
              <c:idx val="7"/>
              <c:delete val="1"/>
              <c:extLst>
                <c:ext xmlns:c15="http://schemas.microsoft.com/office/drawing/2012/chart" uri="{CE6537A1-D6FC-4f65-9D91-7224C49458BB}"/>
                <c:ext xmlns:c16="http://schemas.microsoft.com/office/drawing/2014/chart" uri="{C3380CC4-5D6E-409C-BE32-E72D297353CC}">
                  <c16:uniqueId val="{0000000C-3FFC-4BA9-8791-006B6BA6D5AF}"/>
                </c:ext>
              </c:extLst>
            </c:dLbl>
            <c:dLbl>
              <c:idx val="8"/>
              <c:delete val="1"/>
              <c:extLst>
                <c:ext xmlns:c15="http://schemas.microsoft.com/office/drawing/2012/chart" uri="{CE6537A1-D6FC-4f65-9D91-7224C49458BB}"/>
                <c:ext xmlns:c16="http://schemas.microsoft.com/office/drawing/2014/chart" uri="{C3380CC4-5D6E-409C-BE32-E72D297353CC}">
                  <c16:uniqueId val="{0000000D-3FFC-4BA9-8791-006B6BA6D5AF}"/>
                </c:ext>
              </c:extLst>
            </c:dLbl>
            <c:dLbl>
              <c:idx val="9"/>
              <c:delete val="1"/>
              <c:extLst>
                <c:ext xmlns:c15="http://schemas.microsoft.com/office/drawing/2012/chart" uri="{CE6537A1-D6FC-4f65-9D91-7224C49458BB}"/>
                <c:ext xmlns:c16="http://schemas.microsoft.com/office/drawing/2014/chart" uri="{C3380CC4-5D6E-409C-BE32-E72D297353CC}">
                  <c16:uniqueId val="{0000000E-3FFC-4BA9-8791-006B6BA6D5AF}"/>
                </c:ext>
              </c:extLst>
            </c:dLbl>
            <c:dLbl>
              <c:idx val="10"/>
              <c:delete val="1"/>
              <c:extLst>
                <c:ext xmlns:c15="http://schemas.microsoft.com/office/drawing/2012/chart" uri="{CE6537A1-D6FC-4f65-9D91-7224C49458BB}"/>
                <c:ext xmlns:c16="http://schemas.microsoft.com/office/drawing/2014/chart" uri="{C3380CC4-5D6E-409C-BE32-E72D297353CC}">
                  <c16:uniqueId val="{0000000F-3FFC-4BA9-8791-006B6BA6D5AF}"/>
                </c:ext>
              </c:extLst>
            </c:dLbl>
            <c:dLbl>
              <c:idx val="11"/>
              <c:delete val="1"/>
              <c:extLst>
                <c:ext xmlns:c15="http://schemas.microsoft.com/office/drawing/2012/chart" uri="{CE6537A1-D6FC-4f65-9D91-7224C49458BB}"/>
                <c:ext xmlns:c16="http://schemas.microsoft.com/office/drawing/2014/chart" uri="{C3380CC4-5D6E-409C-BE32-E72D297353CC}">
                  <c16:uniqueId val="{00000010-3FFC-4BA9-8791-006B6BA6D5AF}"/>
                </c:ext>
              </c:extLst>
            </c:dLbl>
            <c:dLbl>
              <c:idx val="12"/>
              <c:delete val="1"/>
              <c:extLst>
                <c:ext xmlns:c15="http://schemas.microsoft.com/office/drawing/2012/chart" uri="{CE6537A1-D6FC-4f65-9D91-7224C49458BB}"/>
                <c:ext xmlns:c16="http://schemas.microsoft.com/office/drawing/2014/chart" uri="{C3380CC4-5D6E-409C-BE32-E72D297353CC}">
                  <c16:uniqueId val="{00000011-3FFC-4BA9-8791-006B6BA6D5AF}"/>
                </c:ext>
              </c:extLst>
            </c:dLbl>
            <c:dLbl>
              <c:idx val="13"/>
              <c:delete val="1"/>
              <c:extLst>
                <c:ext xmlns:c15="http://schemas.microsoft.com/office/drawing/2012/chart" uri="{CE6537A1-D6FC-4f65-9D91-7224C49458BB}"/>
                <c:ext xmlns:c16="http://schemas.microsoft.com/office/drawing/2014/chart" uri="{C3380CC4-5D6E-409C-BE32-E72D297353CC}">
                  <c16:uniqueId val="{00000012-3FFC-4BA9-8791-006B6BA6D5AF}"/>
                </c:ext>
              </c:extLst>
            </c:dLbl>
            <c:dLbl>
              <c:idx val="14"/>
              <c:delete val="1"/>
              <c:extLst>
                <c:ext xmlns:c15="http://schemas.microsoft.com/office/drawing/2012/chart" uri="{CE6537A1-D6FC-4f65-9D91-7224C49458BB}"/>
                <c:ext xmlns:c16="http://schemas.microsoft.com/office/drawing/2014/chart" uri="{C3380CC4-5D6E-409C-BE32-E72D297353CC}">
                  <c16:uniqueId val="{00000013-3FFC-4BA9-8791-006B6BA6D5AF}"/>
                </c:ext>
              </c:extLst>
            </c:dLbl>
            <c:dLbl>
              <c:idx val="15"/>
              <c:delete val="1"/>
              <c:extLst>
                <c:ext xmlns:c15="http://schemas.microsoft.com/office/drawing/2012/chart" uri="{CE6537A1-D6FC-4f65-9D91-7224C49458BB}"/>
                <c:ext xmlns:c16="http://schemas.microsoft.com/office/drawing/2014/chart" uri="{C3380CC4-5D6E-409C-BE32-E72D297353CC}">
                  <c16:uniqueId val="{00000014-3FFC-4BA9-8791-006B6BA6D5AF}"/>
                </c:ext>
              </c:extLst>
            </c:dLbl>
            <c:dLbl>
              <c:idx val="16"/>
              <c:delete val="1"/>
              <c:extLst>
                <c:ext xmlns:c15="http://schemas.microsoft.com/office/drawing/2012/chart" uri="{CE6537A1-D6FC-4f65-9D91-7224C49458BB}"/>
                <c:ext xmlns:c16="http://schemas.microsoft.com/office/drawing/2014/chart" uri="{C3380CC4-5D6E-409C-BE32-E72D297353CC}">
                  <c16:uniqueId val="{00000015-3FFC-4BA9-8791-006B6BA6D5AF}"/>
                </c:ext>
              </c:extLst>
            </c:dLbl>
            <c:dLbl>
              <c:idx val="17"/>
              <c:delete val="1"/>
              <c:extLst>
                <c:ext xmlns:c15="http://schemas.microsoft.com/office/drawing/2012/chart" uri="{CE6537A1-D6FC-4f65-9D91-7224C49458BB}"/>
                <c:ext xmlns:c16="http://schemas.microsoft.com/office/drawing/2014/chart" uri="{C3380CC4-5D6E-409C-BE32-E72D297353CC}">
                  <c16:uniqueId val="{00000016-3FFC-4BA9-8791-006B6BA6D5AF}"/>
                </c:ext>
              </c:extLst>
            </c:dLbl>
            <c:dLbl>
              <c:idx val="18"/>
              <c:delete val="1"/>
              <c:extLst>
                <c:ext xmlns:c15="http://schemas.microsoft.com/office/drawing/2012/chart" uri="{CE6537A1-D6FC-4f65-9D91-7224C49458BB}"/>
                <c:ext xmlns:c16="http://schemas.microsoft.com/office/drawing/2014/chart" uri="{C3380CC4-5D6E-409C-BE32-E72D297353CC}">
                  <c16:uniqueId val="{00000017-3FFC-4BA9-8791-006B6BA6D5AF}"/>
                </c:ext>
              </c:extLst>
            </c:dLbl>
            <c:dLbl>
              <c:idx val="19"/>
              <c:delete val="1"/>
              <c:extLst>
                <c:ext xmlns:c15="http://schemas.microsoft.com/office/drawing/2012/chart" uri="{CE6537A1-D6FC-4f65-9D91-7224C49458BB}"/>
                <c:ext xmlns:c16="http://schemas.microsoft.com/office/drawing/2014/chart" uri="{C3380CC4-5D6E-409C-BE32-E72D297353CC}">
                  <c16:uniqueId val="{00000018-3FFC-4BA9-8791-006B6BA6D5AF}"/>
                </c:ext>
              </c:extLst>
            </c:dLbl>
            <c:dLbl>
              <c:idx val="20"/>
              <c:delete val="1"/>
              <c:extLst>
                <c:ext xmlns:c15="http://schemas.microsoft.com/office/drawing/2012/chart" uri="{CE6537A1-D6FC-4f65-9D91-7224C49458BB}"/>
                <c:ext xmlns:c16="http://schemas.microsoft.com/office/drawing/2014/chart" uri="{C3380CC4-5D6E-409C-BE32-E72D297353CC}">
                  <c16:uniqueId val="{00000019-3FFC-4BA9-8791-006B6BA6D5AF}"/>
                </c:ext>
              </c:extLst>
            </c:dLbl>
            <c:dLbl>
              <c:idx val="21"/>
              <c:delete val="1"/>
              <c:extLst>
                <c:ext xmlns:c15="http://schemas.microsoft.com/office/drawing/2012/chart" uri="{CE6537A1-D6FC-4f65-9D91-7224C49458BB}"/>
                <c:ext xmlns:c16="http://schemas.microsoft.com/office/drawing/2014/chart" uri="{C3380CC4-5D6E-409C-BE32-E72D297353CC}">
                  <c16:uniqueId val="{0000001A-3FFC-4BA9-8791-006B6BA6D5AF}"/>
                </c:ext>
              </c:extLst>
            </c:dLbl>
            <c:dLbl>
              <c:idx val="22"/>
              <c:delete val="1"/>
              <c:extLst>
                <c:ext xmlns:c15="http://schemas.microsoft.com/office/drawing/2012/chart" uri="{CE6537A1-D6FC-4f65-9D91-7224C49458BB}"/>
                <c:ext xmlns:c16="http://schemas.microsoft.com/office/drawing/2014/chart" uri="{C3380CC4-5D6E-409C-BE32-E72D297353CC}">
                  <c16:uniqueId val="{0000001B-3FFC-4BA9-8791-006B6BA6D5AF}"/>
                </c:ext>
              </c:extLst>
            </c:dLbl>
            <c:dLbl>
              <c:idx val="23"/>
              <c:delete val="1"/>
              <c:extLst>
                <c:ext xmlns:c15="http://schemas.microsoft.com/office/drawing/2012/chart" uri="{CE6537A1-D6FC-4f65-9D91-7224C49458BB}"/>
                <c:ext xmlns:c16="http://schemas.microsoft.com/office/drawing/2014/chart" uri="{C3380CC4-5D6E-409C-BE32-E72D297353CC}">
                  <c16:uniqueId val="{0000001C-3FFC-4BA9-8791-006B6BA6D5AF}"/>
                </c:ext>
              </c:extLst>
            </c:dLbl>
            <c:dLbl>
              <c:idx val="24"/>
              <c:layout>
                <c:manualLayout>
                  <c:x val="0.80249149630187566"/>
                  <c:y val="3.41844554936633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FFC-4BA9-8791-006B6BA6D5AF}"/>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principal'!$BB$5:$BB$29</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1825.1496160378006</c:v>
                </c:pt>
                <c:pt idx="11">
                  <c:v>2708.7749400694211</c:v>
                </c:pt>
                <c:pt idx="12">
                  <c:v>3862.1691866233855</c:v>
                </c:pt>
                <c:pt idx="13">
                  <c:v>5378.3159131916264</c:v>
                </c:pt>
                <c:pt idx="14">
                  <c:v>7230.7195926645572</c:v>
                </c:pt>
                <c:pt idx="15">
                  <c:v>9590.6365557186346</c:v>
                </c:pt>
                <c:pt idx="16">
                  <c:v>2460.1022854654038</c:v>
                </c:pt>
                <c:pt idx="17">
                  <c:v>3052.4382048365969</c:v>
                </c:pt>
                <c:pt idx="18">
                  <c:v>3909.0644346215081</c:v>
                </c:pt>
                <c:pt idx="19">
                  <c:v>4537.2431951693252</c:v>
                </c:pt>
                <c:pt idx="20">
                  <c:v>3398.9403589717499</c:v>
                </c:pt>
                <c:pt idx="21">
                  <c:v>2627.3572856939195</c:v>
                </c:pt>
                <c:pt idx="22">
                  <c:v>2328.2397431380459</c:v>
                </c:pt>
                <c:pt idx="23">
                  <c:v>0</c:v>
                </c:pt>
                <c:pt idx="24">
                  <c:v>0</c:v>
                </c:pt>
              </c:numCache>
            </c:numRef>
          </c:val>
          <c:smooth val="0"/>
          <c:extLst>
            <c:ext xmlns:c16="http://schemas.microsoft.com/office/drawing/2014/chart" uri="{C3380CC4-5D6E-409C-BE32-E72D297353CC}">
              <c16:uniqueId val="{0000001E-3FFC-4BA9-8791-006B6BA6D5AF}"/>
            </c:ext>
          </c:extLst>
        </c:ser>
        <c:ser>
          <c:idx val="7"/>
          <c:order val="7"/>
          <c:tx>
            <c:v>Arrivées de varroas (immigration)</c:v>
          </c:tx>
          <c:spPr>
            <a:ln>
              <a:noFill/>
              <a:prstDash val="sysDot"/>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principal'!$DM$5:$DM$29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3FFC-4BA9-8791-006B6BA6D5AF}"/>
            </c:ext>
          </c:extLst>
        </c:ser>
        <c:dLbls>
          <c:showLegendKey val="0"/>
          <c:showVal val="0"/>
          <c:showCatName val="0"/>
          <c:showSerName val="0"/>
          <c:showPercent val="0"/>
          <c:showBubbleSize val="0"/>
        </c:dLbls>
        <c:marker val="1"/>
        <c:smooth val="0"/>
        <c:axId val="417448704"/>
        <c:axId val="417450240"/>
      </c:lineChart>
      <c:lineChart>
        <c:grouping val="standard"/>
        <c:varyColors val="0"/>
        <c:ser>
          <c:idx val="0"/>
          <c:order val="4"/>
          <c:tx>
            <c:v>Comptage par lavage à l’alcool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principal'!$BE$5:$BE$29</c:f>
              <c:numCache>
                <c:formatCode>0</c:formatCode>
                <c:ptCount val="25"/>
                <c:pt idx="0">
                  <c:v>1.96875</c:v>
                </c:pt>
                <c:pt idx="1">
                  <c:v>1.1011521708318264</c:v>
                </c:pt>
                <c:pt idx="2">
                  <c:v>1.1545713362615053</c:v>
                </c:pt>
                <c:pt idx="3">
                  <c:v>1.4063098328231911</c:v>
                </c:pt>
                <c:pt idx="4">
                  <c:v>1.6807740031481844</c:v>
                </c:pt>
                <c:pt idx="5">
                  <c:v>1.9306319695748368</c:v>
                </c:pt>
                <c:pt idx="6">
                  <c:v>2.1188047519507256</c:v>
                </c:pt>
                <c:pt idx="7">
                  <c:v>2.0159762222785864</c:v>
                </c:pt>
                <c:pt idx="8">
                  <c:v>2.6979622282267659</c:v>
                </c:pt>
                <c:pt idx="9">
                  <c:v>3.7530574363797853</c:v>
                </c:pt>
                <c:pt idx="10">
                  <c:v>5.0083106970590272</c:v>
                </c:pt>
                <c:pt idx="11">
                  <c:v>7.1712816880920052</c:v>
                </c:pt>
                <c:pt idx="12">
                  <c:v>10.043952528939812</c:v>
                </c:pt>
                <c:pt idx="13">
                  <c:v>14.514571022237503</c:v>
                </c:pt>
                <c:pt idx="14">
                  <c:v>20.151157046094426</c:v>
                </c:pt>
                <c:pt idx="15">
                  <c:v>30.283070149631577</c:v>
                </c:pt>
                <c:pt idx="16">
                  <c:v>8.9596445867041368</c:v>
                </c:pt>
                <c:pt idx="17">
                  <c:v>11.907250671366304</c:v>
                </c:pt>
                <c:pt idx="18">
                  <c:v>19.648780898481384</c:v>
                </c:pt>
                <c:pt idx="19">
                  <c:v>34.768917562042915</c:v>
                </c:pt>
                <c:pt idx="20">
                  <c:v>36.354126485599984</c:v>
                </c:pt>
                <c:pt idx="21">
                  <c:v>31.522660283108419</c:v>
                </c:pt>
                <c:pt idx="22">
                  <c:v>29.212891690707526</c:v>
                </c:pt>
                <c:pt idx="23">
                  <c:v>0</c:v>
                </c:pt>
                <c:pt idx="24">
                  <c:v>0</c:v>
                </c:pt>
              </c:numCache>
            </c:numRef>
          </c:val>
          <c:smooth val="0"/>
          <c:extLst>
            <c:ext xmlns:c16="http://schemas.microsoft.com/office/drawing/2014/chart" uri="{C3380CC4-5D6E-409C-BE32-E72D297353CC}">
              <c16:uniqueId val="{00000020-3FFC-4BA9-8791-006B6BA6D5AF}"/>
            </c:ext>
          </c:extLst>
        </c:ser>
        <c:ser>
          <c:idx val="4"/>
          <c:order val="5"/>
          <c:tx>
            <c:v>Comptage moyen par lavage aux États-Unis</c:v>
          </c:tx>
          <c:spPr>
            <a:ln w="25400">
              <a:noFill/>
              <a:prstDash val="dash"/>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principal'!$ET$5:$ET$28</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3FFC-4BA9-8791-006B6BA6D5AF}"/>
            </c:ext>
          </c:extLst>
        </c:ser>
        <c:ser>
          <c:idx val="5"/>
          <c:order val="6"/>
          <c:tx>
            <c:v>Traitement et efficacité</c:v>
          </c:tx>
          <c:spPr>
            <a:ln>
              <a:noFill/>
            </a:ln>
          </c:spPr>
          <c:marker>
            <c:symbol val="triangle"/>
            <c:size val="16"/>
            <c:spPr>
              <a:solidFill>
                <a:schemeClr val="tx1"/>
              </a:solidFill>
              <a:ln>
                <a:noFill/>
              </a:ln>
            </c:spPr>
          </c:marker>
          <c:dPt>
            <c:idx val="24"/>
            <c:marker>
              <c:symbol val="none"/>
            </c:marker>
            <c:bubble3D val="0"/>
            <c:extLst>
              <c:ext xmlns:c16="http://schemas.microsoft.com/office/drawing/2014/chart" uri="{C3380CC4-5D6E-409C-BE32-E72D297353CC}">
                <c16:uniqueId val="{00000022-3FFC-4BA9-8791-006B6BA6D5AF}"/>
              </c:ext>
            </c:extLst>
          </c:dPt>
          <c:dLbls>
            <c:dLbl>
              <c:idx val="24"/>
              <c:delete val="1"/>
              <c:extLst>
                <c:ext xmlns:c15="http://schemas.microsoft.com/office/drawing/2012/chart" uri="{CE6537A1-D6FC-4f65-9D91-7224C49458BB}"/>
                <c:ext xmlns:c16="http://schemas.microsoft.com/office/drawing/2014/chart" uri="{C3380CC4-5D6E-409C-BE32-E72D297353CC}">
                  <c16:uniqueId val="{00000022-3FFC-4BA9-8791-006B6BA6D5AF}"/>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principal'!$AZ$5:$AZ$29</c:f>
              <c:numCache>
                <c:formatCode>General</c:formatCode>
                <c:ptCount val="25"/>
              </c:numCache>
            </c:numRef>
          </c:val>
          <c:smooth val="0"/>
          <c:extLst>
            <c:ext xmlns:c16="http://schemas.microsoft.com/office/drawing/2014/chart" uri="{C3380CC4-5D6E-409C-BE32-E72D297353CC}">
              <c16:uniqueId val="{00000023-3FFC-4BA9-8791-006B6BA6D5AF}"/>
            </c:ext>
          </c:extLst>
        </c:ser>
        <c:ser>
          <c:idx val="8"/>
          <c:order val="8"/>
          <c:tx>
            <c:v>Taux logarithmique quotidien r</c:v>
          </c:tx>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principal'!$AX$25</c:f>
              <c:numCache>
                <c:formatCode>0.000</c:formatCode>
                <c:ptCount val="1"/>
                <c:pt idx="0">
                  <c:v>1.2155481239808332E-2</c:v>
                </c:pt>
              </c:numCache>
            </c:numRef>
          </c:val>
          <c:smooth val="0"/>
          <c:extLst>
            <c:ext xmlns:c16="http://schemas.microsoft.com/office/drawing/2014/chart" uri="{C3380CC4-5D6E-409C-BE32-E72D297353CC}">
              <c16:uniqueId val="{00000024-3FFC-4BA9-8791-006B6BA6D5AF}"/>
            </c:ext>
          </c:extLst>
        </c:ser>
        <c:dLbls>
          <c:showLegendKey val="0"/>
          <c:showVal val="0"/>
          <c:showCatName val="0"/>
          <c:showSerName val="0"/>
          <c:showPercent val="0"/>
          <c:showBubbleSize val="0"/>
        </c:dLbls>
        <c:marker val="1"/>
        <c:smooth val="0"/>
        <c:axId val="417466624"/>
        <c:axId val="417464704"/>
      </c:lineChart>
      <c:dateAx>
        <c:axId val="417448704"/>
        <c:scaling>
          <c:orientation val="minMax"/>
        </c:scaling>
        <c:delete val="0"/>
        <c:axPos val="b"/>
        <c:numFmt formatCode="[$-40C]d\-mmm;@" sourceLinked="1"/>
        <c:majorTickMark val="out"/>
        <c:minorTickMark val="none"/>
        <c:tickLblPos val="nextTo"/>
        <c:crossAx val="417450240"/>
        <c:crosses val="autoZero"/>
        <c:auto val="1"/>
        <c:lblOffset val="100"/>
        <c:baseTimeUnit val="days"/>
        <c:majorUnit val="1"/>
        <c:majorTimeUnit val="months"/>
        <c:minorUnit val="1"/>
        <c:minorTimeUnit val="months"/>
      </c:dateAx>
      <c:valAx>
        <c:axId val="417450240"/>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1.3312274624607689E-2"/>
              <c:y val="2.1617088089280985E-2"/>
            </c:manualLayout>
          </c:layout>
          <c:overlay val="0"/>
        </c:title>
        <c:numFmt formatCode="#,##0" sourceLinked="0"/>
        <c:majorTickMark val="out"/>
        <c:minorTickMark val="none"/>
        <c:tickLblPos val="nextTo"/>
        <c:txPr>
          <a:bodyPr/>
          <a:lstStyle/>
          <a:p>
            <a:pPr>
              <a:defRPr sz="800" lang="fr-FR"/>
            </a:pPr>
            <a:endParaRPr lang="fr-FR"/>
          </a:p>
        </c:txPr>
        <c:crossAx val="417448704"/>
        <c:crossesAt val="40544"/>
        <c:crossBetween val="midCat"/>
      </c:valAx>
      <c:valAx>
        <c:axId val="417464704"/>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945366880602422"/>
              <c:y val="0.1681017235782178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417466624"/>
        <c:crosses val="max"/>
        <c:crossBetween val="between"/>
      </c:valAx>
      <c:dateAx>
        <c:axId val="417466624"/>
        <c:scaling>
          <c:orientation val="minMax"/>
        </c:scaling>
        <c:delete val="1"/>
        <c:axPos val="b"/>
        <c:numFmt formatCode="[$-40C]d\-mmm;@" sourceLinked="1"/>
        <c:majorTickMark val="out"/>
        <c:minorTickMark val="none"/>
        <c:tickLblPos val="none"/>
        <c:crossAx val="417464704"/>
        <c:crosses val="autoZero"/>
        <c:auto val="1"/>
        <c:lblOffset val="100"/>
        <c:baseTimeUnit val="days"/>
        <c:majorUnit val="1"/>
        <c:minorUnit val="1"/>
      </c:dateAx>
      <c:spPr>
        <a:noFill/>
        <a:ln w="25400">
          <a:noFill/>
        </a:ln>
      </c:spPr>
    </c:plotArea>
    <c:legend>
      <c:legendPos val="r"/>
      <c:legendEntry>
        <c:idx val="3"/>
        <c:delete val="1"/>
      </c:legendEntry>
      <c:legendEntry>
        <c:idx val="4"/>
        <c:delete val="1"/>
      </c:legendEntry>
      <c:legendEntry>
        <c:idx val="6"/>
        <c:delete val="1"/>
      </c:legendEntry>
      <c:legendEntry>
        <c:idx val="8"/>
        <c:delete val="1"/>
      </c:legendEntry>
      <c:legendEntry>
        <c:idx val="10"/>
        <c:delete val="1"/>
      </c:legendEntry>
      <c:layout>
        <c:manualLayout>
          <c:xMode val="edge"/>
          <c:yMode val="edge"/>
          <c:x val="0.11786102598671905"/>
          <c:y val="5.0022794769701416E-2"/>
          <c:w val="0.2484079129035453"/>
          <c:h val="0.40231866866628846"/>
        </c:manualLayout>
      </c:layout>
      <c:overlay val="0"/>
      <c:spPr>
        <a:solidFill>
          <a:schemeClr val="bg1"/>
        </a:solidFill>
        <a:ln>
          <a:solidFill>
            <a:schemeClr val="tx1"/>
          </a:solidFill>
        </a:ln>
      </c:spPr>
    </c:legend>
    <c:plotVisOnly val="1"/>
    <c:dispBlanksAs val="span"/>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lang="fr-FR">
                <a:solidFill>
                  <a:schemeClr val="tx1"/>
                </a:solidFill>
                <a:latin typeface="+mn-lt"/>
                <a:ea typeface="+mn-ea"/>
                <a:cs typeface="+mn-cs"/>
              </a:defRPr>
            </a:pPr>
            <a:r>
              <a:rPr lang="fr-FR" sz="1800" b="1">
                <a:solidFill>
                  <a:schemeClr val="tx1"/>
                </a:solidFill>
              </a:rPr>
              <a:t xml:space="preserve">Comptage des varroas par lavage en fonction de leur augmentation nette par jour</a:t>
            </a:r>
          </a:p>
        </c:rich>
      </c:tx>
      <c:overlay val="0"/>
      <c:spPr>
        <a:noFill/>
        <a:ln>
          <a:noFill/>
        </a:ln>
        <a:effectLst/>
      </c:spPr>
      <c:txPr>
        <a:bodyPr rot="0" spcFirstLastPara="1" vertOverflow="ellipsis" vert="horz" wrap="square" anchor="ctr" anchorCtr="1"/>
        <a:lstStyle/>
        <a:p>
          <a:pPr>
            <a:defRPr sz="1800" b="1" i="0" u="none" strike="noStrike" kern="1200" spc="0" baseline="0" lang="fr-FR">
              <a:solidFill>
                <a:schemeClr val="tx1"/>
              </a:solidFill>
              <a:latin typeface="+mn-lt"/>
              <a:ea typeface="+mn-ea"/>
              <a:cs typeface="+mn-cs"/>
            </a:defRPr>
          </a:pPr>
          <a:endParaRPr lang="fr-FR"/>
        </a:p>
      </c:txPr>
    </c:title>
    <c:autoTitleDeleted val="0"/>
    <c:plotArea>
      <c:layout>
        <c:manualLayout>
          <c:layoutTarget val="inner"/>
          <c:xMode val="edge"/>
          <c:yMode val="edge"/>
          <c:x val="0.12058286511363937"/>
          <c:y val="0.12267266781443294"/>
          <c:w val="0.85618010907263642"/>
          <c:h val="0.71164352241006479"/>
        </c:manualLayout>
      </c:layout>
      <c:barChart>
        <c:barDir val="col"/>
        <c:grouping val="clustered"/>
        <c:varyColors val="0"/>
        <c:ser>
          <c:idx val="0"/>
          <c:order val="0"/>
          <c:tx>
            <c:strRef>
              <c:f>'Croissance comparée'!$AA$32</c:f>
              <c:strCache>
                <c:ptCount val="1"/>
                <c:pt idx="0">
                  <c:v>Comptage de varroas par lavage d’environ 120 mL de jeunes abeilles (1/2 tasse dans l’original)</c:v>
                </c:pt>
              </c:strCache>
            </c:strRef>
          </c:tx>
          <c:spPr>
            <a:solidFill>
              <a:schemeClr val="accent1"/>
            </a:solidFill>
            <a:ln>
              <a:noFill/>
            </a:ln>
            <a:effectLst/>
          </c:spPr>
          <c:invertIfNegative val="0"/>
          <c:dLbls>
            <c:dLbl>
              <c:idx val="10"/>
              <c:layout>
                <c:manualLayout>
                  <c:x val="-4.2249137843134938E-3"/>
                  <c:y val="-1.0536279135454127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75-4E75-9210-15DF501AF38A}"/>
                </c:ext>
              </c:extLst>
            </c:dLbl>
            <c:dLbl>
              <c:idx val="11"/>
              <c:layout>
                <c:manualLayout>
                  <c:x val="-4.224913784313493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75-4E75-9210-15DF501AF38A}"/>
                </c:ext>
              </c:extLst>
            </c:dLbl>
            <c:dLbl>
              <c:idx val="12"/>
              <c:layout>
                <c:manualLayout>
                  <c:x val="-1.0562284460783734E-2"/>
                  <c:y val="-8.620691605731546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4F8-42F9-B528-C0AA07887581}"/>
                </c:ext>
              </c:extLst>
            </c:dLbl>
            <c:dLbl>
              <c:idx val="13"/>
              <c:layout>
                <c:manualLayout>
                  <c:x val="-4.224913784313649E-3"/>
                  <c:y val="-2.873563868577322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4F8-42F9-B528-C0AA07887581}"/>
                </c:ext>
              </c:extLst>
            </c:dLbl>
            <c:dLbl>
              <c:idx val="14"/>
              <c:layout>
                <c:manualLayout>
                  <c:x val="-4.2249137843134938E-3"/>
                  <c:y val="-8.62069160573165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4F8-42F9-B528-C0AA07887581}"/>
                </c:ext>
              </c:extLst>
            </c:dLbl>
            <c:dLbl>
              <c:idx val="15"/>
              <c:layout>
                <c:manualLayout>
                  <c:x val="-1.0562284460783734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4F8-42F9-B528-C0AA07887581}"/>
                </c:ext>
              </c:extLst>
            </c:dLbl>
            <c:dLbl>
              <c:idx val="16"/>
              <c:layout>
                <c:manualLayout>
                  <c:x val="-4.224913784313493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4F8-42F9-B528-C0AA0788758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lang="fr-FR">
                    <a:solidFill>
                      <a:srgbClr val="0070C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'Croissance comparée'!$Y$33:$Y$49</c:f>
              <c:numCache>
                <c:formatCode>d\ mmm</c:formatCode>
                <c:ptCount val="17"/>
                <c:pt idx="0">
                  <c:v>40575</c:v>
                </c:pt>
                <c:pt idx="1">
                  <c:v>40589</c:v>
                </c:pt>
                <c:pt idx="2">
                  <c:v>40603</c:v>
                </c:pt>
                <c:pt idx="3">
                  <c:v>40617</c:v>
                </c:pt>
                <c:pt idx="4">
                  <c:v>40634</c:v>
                </c:pt>
                <c:pt idx="5">
                  <c:v>40648</c:v>
                </c:pt>
                <c:pt idx="6">
                  <c:v>40664</c:v>
                </c:pt>
                <c:pt idx="7">
                  <c:v>40678</c:v>
                </c:pt>
                <c:pt idx="8">
                  <c:v>40695</c:v>
                </c:pt>
                <c:pt idx="9">
                  <c:v>40709</c:v>
                </c:pt>
                <c:pt idx="10">
                  <c:v>40725</c:v>
                </c:pt>
                <c:pt idx="11">
                  <c:v>40739</c:v>
                </c:pt>
                <c:pt idx="12">
                  <c:v>40756</c:v>
                </c:pt>
                <c:pt idx="13">
                  <c:v>40770</c:v>
                </c:pt>
                <c:pt idx="14">
                  <c:v>40787</c:v>
                </c:pt>
                <c:pt idx="15">
                  <c:v>40801</c:v>
                </c:pt>
                <c:pt idx="16">
                  <c:v>40817</c:v>
                </c:pt>
              </c:numCache>
            </c:numRef>
          </c:cat>
          <c:val>
            <c:numRef>
              <c:f>'Croissance comparée'!$AA$33:$AA$49</c:f>
              <c:numCache>
                <c:formatCode>0</c:formatCode>
                <c:ptCount val="17"/>
                <c:pt idx="0">
                  <c:v>1.0391142026353548</c:v>
                </c:pt>
                <c:pt idx="1">
                  <c:v>1.265678849540872</c:v>
                </c:pt>
                <c:pt idx="2">
                  <c:v>1.5126966028333653</c:v>
                </c:pt>
                <c:pt idx="3">
                  <c:v>1.7375687726173525</c:v>
                </c:pt>
                <c:pt idx="4">
                  <c:v>1.9069242767556531</c:v>
                </c:pt>
                <c:pt idx="5">
                  <c:v>1.8143786000507283</c:v>
                </c:pt>
                <c:pt idx="6">
                  <c:v>2.4281660054040897</c:v>
                </c:pt>
                <c:pt idx="7">
                  <c:v>3.3777516927418083</c:v>
                </c:pt>
                <c:pt idx="8">
                  <c:v>4.5074796273531268</c:v>
                </c:pt>
                <c:pt idx="9">
                  <c:v>6.4594483716398727</c:v>
                </c:pt>
                <c:pt idx="10">
                  <c:v>9.0547749358724854</c:v>
                </c:pt>
                <c:pt idx="11">
                  <c:v>13.098598646036619</c:v>
                </c:pt>
                <c:pt idx="12">
                  <c:v>18.213359493075583</c:v>
                </c:pt>
                <c:pt idx="13">
                  <c:v>27.419105462030299</c:v>
                </c:pt>
                <c:pt idx="14">
                  <c:v>40.673312024401362</c:v>
                </c:pt>
                <c:pt idx="15">
                  <c:v>54.216530959572552</c:v>
                </c:pt>
                <c:pt idx="16">
                  <c:v>83.928962746407251</c:v>
                </c:pt>
              </c:numCache>
            </c:numRef>
          </c:val>
          <c:extLst>
            <c:ext xmlns:c16="http://schemas.microsoft.com/office/drawing/2014/chart" uri="{C3380CC4-5D6E-409C-BE32-E72D297353CC}">
              <c16:uniqueId val="{00000000-64F8-42F9-B528-C0AA07887581}"/>
            </c:ext>
          </c:extLst>
        </c:ser>
        <c:ser>
          <c:idx val="1"/>
          <c:order val="1"/>
          <c:tx>
            <c:strRef>
              <c:f>'Croissance comparée'!$AB$32</c:f>
              <c:strCache>
                <c:ptCount val="1"/>
                <c:pt idx="0">
                  <c:v>Augmentation nette des varroas par jour</c:v>
                </c:pt>
              </c:strCache>
            </c:strRef>
          </c:tx>
          <c:spPr>
            <a:solidFill>
              <a:schemeClr val="accent2"/>
            </a:solidFill>
            <a:ln>
              <a:noFill/>
            </a:ln>
            <a:effectLst/>
          </c:spPr>
          <c:invertIfNegative val="0"/>
          <c:dLbls>
            <c:dLbl>
              <c:idx val="0"/>
              <c:layout>
                <c:manualLayout>
                  <c:x val="-1.0562284460783734E-2"/>
                  <c:y val="-6.60919689772760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4F8-42F9-B528-C0AA07887581}"/>
                </c:ext>
              </c:extLst>
            </c:dLbl>
            <c:dLbl>
              <c:idx val="1"/>
              <c:layout>
                <c:manualLayout>
                  <c:x val="-8.4498275686270066E-3"/>
                  <c:y val="-5.74712773715443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4F8-42F9-B528-C0AA07887581}"/>
                </c:ext>
              </c:extLst>
            </c:dLbl>
            <c:dLbl>
              <c:idx val="2"/>
              <c:layout>
                <c:manualLayout>
                  <c:x val="-6.3373706764702411E-3"/>
                  <c:y val="-5.74712773715443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4F8-42F9-B528-C0AA07887581}"/>
                </c:ext>
              </c:extLst>
            </c:dLbl>
            <c:dLbl>
              <c:idx val="3"/>
              <c:layout>
                <c:manualLayout>
                  <c:x val="-3.8727928967866809E-17"/>
                  <c:y val="-4.0229894160081145E-2"/>
                </c:manualLayout>
              </c:layout>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lang="fr-FR">
                      <a:solidFill>
                        <a:srgbClr val="C00000"/>
                      </a:solidFill>
                      <a:latin typeface="+mn-lt"/>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2.3406022365096757E-2"/>
                      <c:h val="8.5201168703314484E-2"/>
                    </c:manualLayout>
                  </c15:layout>
                </c:ext>
                <c:ext xmlns:c16="http://schemas.microsoft.com/office/drawing/2014/chart" uri="{C3380CC4-5D6E-409C-BE32-E72D297353CC}">
                  <c16:uniqueId val="{00000005-64F8-42F9-B528-C0AA07887581}"/>
                </c:ext>
              </c:extLst>
            </c:dLbl>
            <c:dLbl>
              <c:idx val="4"/>
              <c:layout>
                <c:manualLayout>
                  <c:x val="-6.3373706764702411E-3"/>
                  <c:y val="-5.74712773715444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4F8-42F9-B528-C0AA07887581}"/>
                </c:ext>
              </c:extLst>
            </c:dLbl>
            <c:dLbl>
              <c:idx val="5"/>
              <c:layout>
                <c:manualLayout>
                  <c:x val="0"/>
                  <c:y val="-3.73563302915039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4F8-42F9-B528-C0AA07887581}"/>
                </c:ext>
              </c:extLst>
            </c:dLbl>
            <c:dLbl>
              <c:idx val="6"/>
              <c:layout>
                <c:manualLayout>
                  <c:x val="-7.7455857935733619E-17"/>
                  <c:y val="-2.011494708004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4F8-42F9-B528-C0AA07887581}"/>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lang="fr-FR">
                    <a:solidFill>
                      <a:srgbClr val="C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'Croissance comparée'!$Y$33:$Y$49</c:f>
              <c:numCache>
                <c:formatCode>d\ mmm</c:formatCode>
                <c:ptCount val="17"/>
                <c:pt idx="0">
                  <c:v>40575</c:v>
                </c:pt>
                <c:pt idx="1">
                  <c:v>40589</c:v>
                </c:pt>
                <c:pt idx="2">
                  <c:v>40603</c:v>
                </c:pt>
                <c:pt idx="3">
                  <c:v>40617</c:v>
                </c:pt>
                <c:pt idx="4">
                  <c:v>40634</c:v>
                </c:pt>
                <c:pt idx="5">
                  <c:v>40648</c:v>
                </c:pt>
                <c:pt idx="6">
                  <c:v>40664</c:v>
                </c:pt>
                <c:pt idx="7">
                  <c:v>40678</c:v>
                </c:pt>
                <c:pt idx="8">
                  <c:v>40695</c:v>
                </c:pt>
                <c:pt idx="9">
                  <c:v>40709</c:v>
                </c:pt>
                <c:pt idx="10">
                  <c:v>40725</c:v>
                </c:pt>
                <c:pt idx="11">
                  <c:v>40739</c:v>
                </c:pt>
                <c:pt idx="12">
                  <c:v>40756</c:v>
                </c:pt>
                <c:pt idx="13">
                  <c:v>40770</c:v>
                </c:pt>
                <c:pt idx="14">
                  <c:v>40787</c:v>
                </c:pt>
                <c:pt idx="15">
                  <c:v>40801</c:v>
                </c:pt>
                <c:pt idx="16">
                  <c:v>40817</c:v>
                </c:pt>
              </c:numCache>
            </c:numRef>
          </c:cat>
          <c:val>
            <c:numRef>
              <c:f>'Croissance comparée'!$AB$33:$AB$49</c:f>
              <c:numCache>
                <c:formatCode>#,##0</c:formatCode>
                <c:ptCount val="17"/>
                <c:pt idx="0">
                  <c:v>1</c:v>
                </c:pt>
                <c:pt idx="1">
                  <c:v>1.4459744504973373</c:v>
                </c:pt>
                <c:pt idx="2">
                  <c:v>2.0552576776811162</c:v>
                </c:pt>
                <c:pt idx="3">
                  <c:v>3.1171509828593287</c:v>
                </c:pt>
                <c:pt idx="4">
                  <c:v>5.380276352528826</c:v>
                </c:pt>
                <c:pt idx="5">
                  <c:v>10.498967578992836</c:v>
                </c:pt>
                <c:pt idx="6">
                  <c:v>16.910585946845206</c:v>
                </c:pt>
                <c:pt idx="7">
                  <c:v>26.218123680797241</c:v>
                </c:pt>
                <c:pt idx="8">
                  <c:v>37.86337528435665</c:v>
                </c:pt>
                <c:pt idx="9">
                  <c:v>53.150852775230575</c:v>
                </c:pt>
                <c:pt idx="10">
                  <c:v>69.460428022074908</c:v>
                </c:pt>
                <c:pt idx="11">
                  <c:v>91.455278532227538</c:v>
                </c:pt>
                <c:pt idx="12">
                  <c:v>112.11721337208346</c:v>
                </c:pt>
                <c:pt idx="13">
                  <c:v>143.21525376269111</c:v>
                </c:pt>
                <c:pt idx="14">
                  <c:v>165.61935589274592</c:v>
                </c:pt>
                <c:pt idx="15">
                  <c:v>182.03755479456402</c:v>
                </c:pt>
                <c:pt idx="16">
                  <c:v>186.59565973800514</c:v>
                </c:pt>
              </c:numCache>
            </c:numRef>
          </c:val>
          <c:extLst>
            <c:ext xmlns:c16="http://schemas.microsoft.com/office/drawing/2014/chart" uri="{C3380CC4-5D6E-409C-BE32-E72D297353CC}">
              <c16:uniqueId val="{00000001-64F8-42F9-B528-C0AA07887581}"/>
            </c:ext>
          </c:extLst>
        </c:ser>
        <c:dLbls>
          <c:showLegendKey val="0"/>
          <c:showVal val="0"/>
          <c:showCatName val="0"/>
          <c:showSerName val="0"/>
          <c:showPercent val="0"/>
          <c:showBubbleSize val="0"/>
        </c:dLbls>
        <c:gapWidth val="219"/>
        <c:overlap val="-27"/>
        <c:axId val="1778759551"/>
        <c:axId val="1778760031"/>
      </c:barChart>
      <c:catAx>
        <c:axId val="1778759551"/>
        <c:scaling>
          <c:orientation val="minMax"/>
        </c:scaling>
        <c:delete val="0"/>
        <c:axPos val="b"/>
        <c:numFmt formatCode="d\ mmm"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200" b="0" i="0" u="none" strike="noStrike" kern="1200" baseline="0" lang="fr-FR">
                <a:solidFill>
                  <a:schemeClr val="tx1"/>
                </a:solidFill>
                <a:latin typeface="+mn-lt"/>
                <a:ea typeface="+mn-ea"/>
                <a:cs typeface="+mn-cs"/>
              </a:defRPr>
            </a:pPr>
            <a:endParaRPr lang="fr-FR"/>
          </a:p>
        </c:txPr>
        <c:crossAx val="1778760031"/>
        <c:crosses val="autoZero"/>
        <c:auto val="0"/>
        <c:lblAlgn val="ctr"/>
        <c:lblOffset val="100"/>
        <c:noMultiLvlLbl val="0"/>
      </c:catAx>
      <c:valAx>
        <c:axId val="17787600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lang="fr-FR">
                    <a:solidFill>
                      <a:srgbClr val="0070C0"/>
                    </a:solidFill>
                    <a:latin typeface="+mn-lt"/>
                    <a:ea typeface="+mn-ea"/>
                    <a:cs typeface="+mn-cs"/>
                  </a:defRPr>
                </a:pPr>
                <a:r>
                  <a:rPr lang="fr-FR" sz="1200">
                    <a:solidFill>
                      <a:srgbClr val="C00000"/>
                    </a:solidFill>
                  </a:rPr>
                  <a:t xml:space="preserve">Comptage de varroas par lavage ou accroissement net quotidien des varroas</a:t>
                </a:r>
              </a:p>
            </c:rich>
          </c:tx>
          <c:overlay val="0"/>
          <c:spPr>
            <a:noFill/>
            <a:ln>
              <a:noFill/>
            </a:ln>
            <a:effectLst/>
          </c:spPr>
          <c:txPr>
            <a:bodyPr rot="-5400000" spcFirstLastPara="1" vertOverflow="ellipsis" vert="horz" wrap="square" anchor="ctr" anchorCtr="1"/>
            <a:lstStyle/>
            <a:p>
              <a:pPr>
                <a:defRPr sz="1200" b="0" i="0" u="none" strike="noStrike" kern="1200" baseline="0" lang="fr-FR">
                  <a:solidFill>
                    <a:srgbClr val="0070C0"/>
                  </a:solidFill>
                  <a:latin typeface="+mn-lt"/>
                  <a:ea typeface="+mn-ea"/>
                  <a:cs typeface="+mn-cs"/>
                </a:defRPr>
              </a:pPr>
              <a:endParaRPr lang="fr-FR"/>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lang="fr-FR">
                <a:solidFill>
                  <a:schemeClr val="tx1"/>
                </a:solidFill>
                <a:latin typeface="+mn-lt"/>
                <a:ea typeface="+mn-ea"/>
                <a:cs typeface="+mn-cs"/>
              </a:defRPr>
            </a:pPr>
            <a:endParaRPr lang="fr-FR"/>
          </a:p>
        </c:txPr>
        <c:crossAx val="1778759551"/>
        <c:crosses val="autoZero"/>
        <c:crossBetween val="between"/>
      </c:valAx>
      <c:spPr>
        <a:noFill/>
        <a:ln>
          <a:noFill/>
        </a:ln>
        <a:effectLst/>
      </c:spPr>
    </c:plotArea>
    <c:legend>
      <c:legendPos val="b"/>
      <c:layout>
        <c:manualLayout>
          <c:xMode val="edge"/>
          <c:yMode val="edge"/>
          <c:x val="0.12292087252121067"/>
          <c:y val="0.19288740901606682"/>
          <c:w val="0.47320132196554299"/>
          <c:h val="8.5848059971051674E-2"/>
        </c:manualLayout>
      </c:layout>
      <c:overlay val="0"/>
      <c:spPr>
        <a:noFill/>
        <a:ln>
          <a:noFill/>
        </a:ln>
        <a:effectLst/>
      </c:spPr>
      <c:txPr>
        <a:bodyPr rot="0" spcFirstLastPara="1" vertOverflow="ellipsis" vert="horz" wrap="square" anchor="ctr" anchorCtr="1"/>
        <a:lstStyle/>
        <a:p>
          <a:pPr>
            <a:defRPr sz="1200" b="0" i="0" u="none" strike="noStrike" kern="1200" baseline="0" lang="fr-FR">
              <a:solidFill>
                <a:schemeClr val="tx1"/>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lang="fr-F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lang="fr-FR">
              <a:solidFill>
                <a:schemeClr val="tx1">
                  <a:lumMod val="65000"/>
                  <a:lumOff val="35000"/>
                </a:schemeClr>
              </a:solidFill>
              <a:latin typeface="+mn-lt"/>
              <a:ea typeface="+mn-ea"/>
              <a:cs typeface="+mn-cs"/>
            </a:defRPr>
          </a:pPr>
          <a:endParaRPr lang="fr-FR"/>
        </a:p>
      </c:txPr>
    </c:title>
    <c:autoTitleDeleted val="0"/>
    <c:plotArea>
      <c:layout/>
      <c:lineChart>
        <c:grouping val="standard"/>
        <c:varyColors val="0"/>
        <c:ser>
          <c:idx val="0"/>
          <c:order val="0"/>
          <c:tx>
            <c:strRef>
              <c:f>'Croissance comparée'!$AA$32</c:f>
              <c:strCache>
                <c:ptCount val="1"/>
                <c:pt idx="0">
                  <c:v>Comptage de varroas par lavage d’environ 120 mL de jeunes abeilles (1/2 tasse dans l’original)</c:v>
                </c:pt>
              </c:strCache>
            </c:strRef>
          </c:tx>
          <c:spPr>
            <a:ln w="28575" cap="rnd">
              <a:solidFill>
                <a:schemeClr val="accent1"/>
              </a:solidFill>
              <a:round/>
            </a:ln>
            <a:effectLst/>
          </c:spPr>
          <c:marker>
            <c:symbol val="none"/>
          </c:marker>
          <c:val>
            <c:numRef>
              <c:f>'Croissance comparée'!$AA$33:$AA$49</c:f>
              <c:numCache>
                <c:formatCode>0</c:formatCode>
                <c:ptCount val="17"/>
                <c:pt idx="0">
                  <c:v>1.0391142026353548</c:v>
                </c:pt>
                <c:pt idx="1">
                  <c:v>1.265678849540872</c:v>
                </c:pt>
                <c:pt idx="2">
                  <c:v>1.5126966028333653</c:v>
                </c:pt>
                <c:pt idx="3">
                  <c:v>1.7375687726173525</c:v>
                </c:pt>
                <c:pt idx="4">
                  <c:v>1.9069242767556531</c:v>
                </c:pt>
                <c:pt idx="5">
                  <c:v>1.8143786000507283</c:v>
                </c:pt>
                <c:pt idx="6">
                  <c:v>2.4281660054040897</c:v>
                </c:pt>
                <c:pt idx="7">
                  <c:v>3.3777516927418083</c:v>
                </c:pt>
                <c:pt idx="8">
                  <c:v>4.5074796273531268</c:v>
                </c:pt>
                <c:pt idx="9">
                  <c:v>6.4594483716398727</c:v>
                </c:pt>
                <c:pt idx="10">
                  <c:v>9.0547749358724854</c:v>
                </c:pt>
                <c:pt idx="11">
                  <c:v>13.098598646036619</c:v>
                </c:pt>
                <c:pt idx="12">
                  <c:v>18.213359493075583</c:v>
                </c:pt>
                <c:pt idx="13">
                  <c:v>27.419105462030299</c:v>
                </c:pt>
                <c:pt idx="14">
                  <c:v>40.673312024401362</c:v>
                </c:pt>
                <c:pt idx="15">
                  <c:v>54.216530959572552</c:v>
                </c:pt>
                <c:pt idx="16">
                  <c:v>83.928962746407251</c:v>
                </c:pt>
              </c:numCache>
            </c:numRef>
          </c:val>
          <c:smooth val="0"/>
          <c:extLst>
            <c:ext xmlns:c16="http://schemas.microsoft.com/office/drawing/2014/chart" uri="{C3380CC4-5D6E-409C-BE32-E72D297353CC}">
              <c16:uniqueId val="{00000000-CC13-4A9E-8D0D-57C0B221CF8B}"/>
            </c:ext>
          </c:extLst>
        </c:ser>
        <c:ser>
          <c:idx val="1"/>
          <c:order val="1"/>
          <c:tx>
            <c:strRef>
              <c:f>'Croissance comparée'!$AB$32</c:f>
              <c:strCache>
                <c:ptCount val="1"/>
                <c:pt idx="0">
                  <c:v>Augmentation nette des varroas par jour</c:v>
                </c:pt>
              </c:strCache>
            </c:strRef>
          </c:tx>
          <c:spPr>
            <a:ln w="28575" cap="rnd">
              <a:solidFill>
                <a:schemeClr val="accent2"/>
              </a:solidFill>
              <a:round/>
            </a:ln>
            <a:effectLst/>
          </c:spPr>
          <c:marker>
            <c:symbol val="none"/>
          </c:marker>
          <c:val>
            <c:numRef>
              <c:f>'Croissance comparée'!$AB$33:$AB$49</c:f>
              <c:numCache>
                <c:formatCode>#,##0</c:formatCode>
                <c:ptCount val="17"/>
                <c:pt idx="0">
                  <c:v>1</c:v>
                </c:pt>
                <c:pt idx="1">
                  <c:v>1.4459744504973373</c:v>
                </c:pt>
                <c:pt idx="2">
                  <c:v>2.0552576776811162</c:v>
                </c:pt>
                <c:pt idx="3">
                  <c:v>3.1171509828593287</c:v>
                </c:pt>
                <c:pt idx="4">
                  <c:v>5.380276352528826</c:v>
                </c:pt>
                <c:pt idx="5">
                  <c:v>10.498967578992836</c:v>
                </c:pt>
                <c:pt idx="6">
                  <c:v>16.910585946845206</c:v>
                </c:pt>
                <c:pt idx="7">
                  <c:v>26.218123680797241</c:v>
                </c:pt>
                <c:pt idx="8">
                  <c:v>37.86337528435665</c:v>
                </c:pt>
                <c:pt idx="9">
                  <c:v>53.150852775230575</c:v>
                </c:pt>
                <c:pt idx="10">
                  <c:v>69.460428022074908</c:v>
                </c:pt>
                <c:pt idx="11">
                  <c:v>91.455278532227538</c:v>
                </c:pt>
                <c:pt idx="12">
                  <c:v>112.11721337208346</c:v>
                </c:pt>
                <c:pt idx="13">
                  <c:v>143.21525376269111</c:v>
                </c:pt>
                <c:pt idx="14">
                  <c:v>165.61935589274592</c:v>
                </c:pt>
                <c:pt idx="15">
                  <c:v>182.03755479456402</c:v>
                </c:pt>
                <c:pt idx="16">
                  <c:v>186.59565973800514</c:v>
                </c:pt>
              </c:numCache>
            </c:numRef>
          </c:val>
          <c:smooth val="0"/>
          <c:extLst>
            <c:ext xmlns:c16="http://schemas.microsoft.com/office/drawing/2014/chart" uri="{C3380CC4-5D6E-409C-BE32-E72D297353CC}">
              <c16:uniqueId val="{00000001-CC13-4A9E-8D0D-57C0B221CF8B}"/>
            </c:ext>
          </c:extLst>
        </c:ser>
        <c:dLbls>
          <c:showLegendKey val="0"/>
          <c:showVal val="0"/>
          <c:showCatName val="0"/>
          <c:showSerName val="0"/>
          <c:showPercent val="0"/>
          <c:showBubbleSize val="0"/>
        </c:dLbls>
        <c:smooth val="0"/>
        <c:axId val="1778757631"/>
        <c:axId val="1778756191"/>
      </c:lineChart>
      <c:catAx>
        <c:axId val="1778757631"/>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lang="fr-FR">
                <a:solidFill>
                  <a:schemeClr val="tx1">
                    <a:lumMod val="65000"/>
                    <a:lumOff val="35000"/>
                  </a:schemeClr>
                </a:solidFill>
                <a:latin typeface="+mn-lt"/>
                <a:ea typeface="+mn-ea"/>
                <a:cs typeface="+mn-cs"/>
              </a:defRPr>
            </a:pPr>
            <a:endParaRPr lang="fr-FR"/>
          </a:p>
        </c:txPr>
        <c:crossAx val="1778756191"/>
        <c:crosses val="autoZero"/>
        <c:auto val="1"/>
        <c:lblAlgn val="ctr"/>
        <c:lblOffset val="100"/>
        <c:noMultiLvlLbl val="0"/>
      </c:catAx>
      <c:valAx>
        <c:axId val="17787561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lang="fr-FR">
                <a:solidFill>
                  <a:schemeClr val="tx1">
                    <a:lumMod val="65000"/>
                    <a:lumOff val="35000"/>
                  </a:schemeClr>
                </a:solidFill>
                <a:latin typeface="+mn-lt"/>
                <a:ea typeface="+mn-ea"/>
                <a:cs typeface="+mn-cs"/>
              </a:defRPr>
            </a:pPr>
            <a:endParaRPr lang="fr-FR"/>
          </a:p>
        </c:txPr>
        <c:crossAx val="17787576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lang="fr-FR">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lang="fr-F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baseline="0"/>
              <a:t xml:space="preserve">Taux logarithmiques quotidiens r des populations de varroas et d’abeilles pour chaque intervalle de temps</a:t>
            </a:r>
            <a:endParaRPr lang="fr-FR"/>
          </a:p>
        </c:rich>
      </c:tx>
      <c:overlay val="0"/>
    </c:title>
    <c:autoTitleDeleted val="0"/>
    <c:plotArea>
      <c:layout>
        <c:manualLayout>
          <c:layoutTarget val="inner"/>
          <c:xMode val="edge"/>
          <c:yMode val="edge"/>
          <c:x val="0.12901539606399778"/>
          <c:y val="0.20043608201583815"/>
          <c:w val="0.78720609228744209"/>
          <c:h val="0.68850843966162567"/>
        </c:manualLayout>
      </c:layout>
      <c:lineChart>
        <c:grouping val="standard"/>
        <c:varyColors val="0"/>
        <c:ser>
          <c:idx val="0"/>
          <c:order val="0"/>
          <c:tx>
            <c:strRef>
              <c:f>'Taux de croissance r'!$C$29</c:f>
              <c:strCache>
                <c:ptCount val="1"/>
                <c:pt idx="0">
                  <c:v>Taux logarithmique quotidien r des varroas</c:v>
                </c:pt>
              </c:strCache>
            </c:strRef>
          </c:tx>
          <c:spPr>
            <a:ln>
              <a:solidFill>
                <a:schemeClr val="tx1"/>
              </a:solidFill>
            </a:ln>
          </c:spPr>
          <c:marker>
            <c:symbol val="circle"/>
            <c:size val="5"/>
            <c:spPr>
              <a:solidFill>
                <a:schemeClr val="tx1"/>
              </a:solidFill>
              <a:ln>
                <a:noFill/>
              </a:ln>
            </c:spPr>
          </c:marker>
          <c:cat>
            <c:numRef>
              <c:f>'Taux de croissance r'!$B$30:$B$54</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'Taux de croissance r'!$C$30:$C$55</c:f>
              <c:numCache>
                <c:formatCode>#,##0.000</c:formatCode>
                <c:ptCount val="26"/>
                <c:pt idx="0">
                  <c:v>-5.0125418235442863E-3</c:v>
                </c:pt>
                <c:pt idx="1">
                  <c:v>2.0823662100919679E-2</c:v>
                </c:pt>
                <c:pt idx="2">
                  <c:v>2.2065264002602884E-2</c:v>
                </c:pt>
                <c:pt idx="3">
                  <c:v>2.7424563300131304E-2</c:v>
                </c:pt>
                <c:pt idx="4">
                  <c:v>2.9482251264468896E-2</c:v>
                </c:pt>
                <c:pt idx="5">
                  <c:v>3.7407924845798232E-2</c:v>
                </c:pt>
                <c:pt idx="6">
                  <c:v>4.498676952804382E-2</c:v>
                </c:pt>
                <c:pt idx="7">
                  <c:v>5.1143018443206859E-2</c:v>
                </c:pt>
                <c:pt idx="8">
                  <c:v>4.8750503060226928E-2</c:v>
                </c:pt>
                <c:pt idx="9">
                  <c:v>4.5138711588727939E-2</c:v>
                </c:pt>
                <c:pt idx="10">
                  <c:v>4.2157037364144417E-2</c:v>
                </c:pt>
                <c:pt idx="11">
                  <c:v>3.9423314037695847E-2</c:v>
                </c:pt>
                <c:pt idx="12">
                  <c:v>3.7556015607528026E-2</c:v>
                </c:pt>
                <c:pt idx="13">
                  <c:v>3.5293569098724553E-2</c:v>
                </c:pt>
                <c:pt idx="14">
                  <c:v>3.4306858441736046E-2</c:v>
                </c:pt>
                <c:pt idx="15">
                  <c:v>3.4398891497080808E-2</c:v>
                </c:pt>
                <c:pt idx="16">
                  <c:v>3.2726238096280898E-2</c:v>
                </c:pt>
                <c:pt idx="17">
                  <c:v>3.5625275880967873E-2</c:v>
                </c:pt>
                <c:pt idx="18">
                  <c:v>2.8965329265222054E-2</c:v>
                </c:pt>
                <c:pt idx="19">
                  <c:v>-5.0125418235442863E-3</c:v>
                </c:pt>
                <c:pt idx="20">
                  <c:v>-5.0125418235442863E-3</c:v>
                </c:pt>
                <c:pt idx="21">
                  <c:v>-5.0125418235442863E-3</c:v>
                </c:pt>
                <c:pt idx="22">
                  <c:v>-5.0125418235442863E-3</c:v>
                </c:pt>
                <c:pt idx="23">
                  <c:v>-5.0125418235442863E-3</c:v>
                </c:pt>
                <c:pt idx="24">
                  <c:v>-5.0125418235442863E-3</c:v>
                </c:pt>
              </c:numCache>
            </c:numRef>
          </c:val>
          <c:smooth val="0"/>
          <c:extLst>
            <c:ext xmlns:c16="http://schemas.microsoft.com/office/drawing/2014/chart" uri="{C3380CC4-5D6E-409C-BE32-E72D297353CC}">
              <c16:uniqueId val="{00000000-ACA1-421F-A683-8A349B73974C}"/>
            </c:ext>
          </c:extLst>
        </c:ser>
        <c:ser>
          <c:idx val="1"/>
          <c:order val="1"/>
          <c:tx>
            <c:strRef>
              <c:f>'Taux de croissance r'!$D$29</c:f>
              <c:strCache>
                <c:ptCount val="1"/>
                <c:pt idx="0">
                  <c:v>Taux logarithmique quotidien r des abeilles adultes</c:v>
                </c:pt>
              </c:strCache>
            </c:strRef>
          </c:tx>
          <c:spPr>
            <a:ln>
              <a:solidFill>
                <a:srgbClr val="FFC000"/>
              </a:solidFill>
            </a:ln>
          </c:spPr>
          <c:marker>
            <c:symbol val="circle"/>
            <c:size val="5"/>
            <c:spPr>
              <a:solidFill>
                <a:srgbClr val="FFC000"/>
              </a:solidFill>
              <a:ln>
                <a:noFill/>
              </a:ln>
            </c:spPr>
          </c:marker>
          <c:cat>
            <c:numRef>
              <c:f>'Taux de croissance r'!$B$30:$B$54</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'Taux de croissance r'!$D$31:$D$55</c:f>
              <c:numCache>
                <c:formatCode>#,##0.000</c:formatCode>
                <c:ptCount val="25"/>
                <c:pt idx="0">
                  <c:v>0</c:v>
                </c:pt>
                <c:pt idx="1">
                  <c:v>0</c:v>
                </c:pt>
                <c:pt idx="2">
                  <c:v>-9.5379566160373307E-3</c:v>
                </c:pt>
                <c:pt idx="3">
                  <c:v>0</c:v>
                </c:pt>
                <c:pt idx="4">
                  <c:v>-1.1010762844804168E-2</c:v>
                </c:pt>
                <c:pt idx="5">
                  <c:v>0</c:v>
                </c:pt>
                <c:pt idx="6">
                  <c:v>2.054871946084149E-2</c:v>
                </c:pt>
                <c:pt idx="7">
                  <c:v>1.9903358194908412E-2</c:v>
                </c:pt>
                <c:pt idx="8">
                  <c:v>2.2153923450274247E-2</c:v>
                </c:pt>
                <c:pt idx="9">
                  <c:v>1.3905222239072373E-2</c:v>
                </c:pt>
                <c:pt idx="10">
                  <c:v>1.0471676727991102E-2</c:v>
                </c:pt>
                <c:pt idx="11">
                  <c:v>5.4382110618518562E-3</c:v>
                </c:pt>
                <c:pt idx="12">
                  <c:v>2.9158567514467998E-3</c:v>
                </c:pt>
                <c:pt idx="13">
                  <c:v>0</c:v>
                </c:pt>
                <c:pt idx="14">
                  <c:v>-9.1309551078489204E-3</c:v>
                </c:pt>
                <c:pt idx="15">
                  <c:v>-8.6237337759926692E-3</c:v>
                </c:pt>
                <c:pt idx="16">
                  <c:v>-1.2275018351904235E-2</c:v>
                </c:pt>
                <c:pt idx="17">
                  <c:v>-4.0336575710981986E-3</c:v>
                </c:pt>
                <c:pt idx="18">
                  <c:v>-1.5938825093872122E-2</c:v>
                </c:pt>
                <c:pt idx="19">
                  <c:v>-1.6922474850104757E-2</c:v>
                </c:pt>
                <c:pt idx="20">
                  <c:v>-4.0827438457106168E-3</c:v>
                </c:pt>
                <c:pt idx="21">
                  <c:v>-1.8658101968550725E-3</c:v>
                </c:pt>
                <c:pt idx="22">
                  <c:v>-2.197975619053833E-3</c:v>
                </c:pt>
                <c:pt idx="23">
                  <c:v>0</c:v>
                </c:pt>
              </c:numCache>
            </c:numRef>
          </c:val>
          <c:smooth val="0"/>
          <c:extLst>
            <c:ext xmlns:c16="http://schemas.microsoft.com/office/drawing/2014/chart" uri="{C3380CC4-5D6E-409C-BE32-E72D297353CC}">
              <c16:uniqueId val="{00000001-ACA1-421F-A683-8A349B73974C}"/>
            </c:ext>
          </c:extLst>
        </c:ser>
        <c:dLbls>
          <c:showLegendKey val="0"/>
          <c:showVal val="0"/>
          <c:showCatName val="0"/>
          <c:showSerName val="0"/>
          <c:showPercent val="0"/>
          <c:showBubbleSize val="0"/>
        </c:dLbls>
        <c:marker val="1"/>
        <c:smooth val="0"/>
        <c:axId val="417034240"/>
        <c:axId val="417036160"/>
      </c:lineChart>
      <c:lineChart>
        <c:grouping val="standard"/>
        <c:varyColors val="0"/>
        <c:ser>
          <c:idx val="2"/>
          <c:order val="2"/>
          <c:tx>
            <c:v>Population de varroas</c:v>
          </c:tx>
          <c:spPr>
            <a:ln>
              <a:solidFill>
                <a:srgbClr val="FF0000"/>
              </a:solidFill>
            </a:ln>
          </c:spPr>
          <c:marker>
            <c:symbol val="circle"/>
            <c:size val="5"/>
            <c:spPr>
              <a:solidFill>
                <a:srgbClr val="FF0000"/>
              </a:solidFill>
              <a:ln>
                <a:noFill/>
              </a:ln>
            </c:spPr>
          </c:marker>
          <c:cat>
            <c:numRef>
              <c:f>'Taux de croissance r'!$B$30:$B$54</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'Taux de croissance r'!$E$30:$E$54</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1825.1496160378006</c:v>
                </c:pt>
                <c:pt idx="11">
                  <c:v>2708.7749400694211</c:v>
                </c:pt>
                <c:pt idx="12">
                  <c:v>3862.1691866233855</c:v>
                </c:pt>
                <c:pt idx="13">
                  <c:v>5378.3159131916264</c:v>
                </c:pt>
                <c:pt idx="14">
                  <c:v>7230.7195926645572</c:v>
                </c:pt>
                <c:pt idx="15">
                  <c:v>9590.6365557186346</c:v>
                </c:pt>
                <c:pt idx="16">
                  <c:v>2460.1022854654038</c:v>
                </c:pt>
                <c:pt idx="17">
                  <c:v>3052.4382048365969</c:v>
                </c:pt>
                <c:pt idx="18">
                  <c:v>3909.0644346215081</c:v>
                </c:pt>
                <c:pt idx="19">
                  <c:v>4537.2431951693252</c:v>
                </c:pt>
                <c:pt idx="20">
                  <c:v>3398.9403589717499</c:v>
                </c:pt>
                <c:pt idx="21">
                  <c:v>2627.3572856939195</c:v>
                </c:pt>
                <c:pt idx="22">
                  <c:v>2328.2397431380459</c:v>
                </c:pt>
                <c:pt idx="23">
                  <c:v>2108.1064703911084</c:v>
                </c:pt>
                <c:pt idx="24">
                  <c:v>1889.5000561255986</c:v>
                </c:pt>
              </c:numCache>
            </c:numRef>
          </c:val>
          <c:smooth val="0"/>
          <c:extLst>
            <c:ext xmlns:c16="http://schemas.microsoft.com/office/drawing/2014/chart" uri="{C3380CC4-5D6E-409C-BE32-E72D297353CC}">
              <c16:uniqueId val="{00000002-ACA1-421F-A683-8A349B73974C}"/>
            </c:ext>
          </c:extLst>
        </c:ser>
        <c:dLbls>
          <c:showLegendKey val="0"/>
          <c:showVal val="0"/>
          <c:showCatName val="0"/>
          <c:showSerName val="0"/>
          <c:showPercent val="0"/>
          <c:showBubbleSize val="0"/>
        </c:dLbls>
        <c:marker val="1"/>
        <c:smooth val="0"/>
        <c:axId val="417052160"/>
        <c:axId val="417050624"/>
      </c:lineChart>
      <c:dateAx>
        <c:axId val="417034240"/>
        <c:scaling>
          <c:orientation val="minMax"/>
        </c:scaling>
        <c:delete val="0"/>
        <c:axPos val="b"/>
        <c:numFmt formatCode="[$-40C]d\-mmm;@" sourceLinked="1"/>
        <c:majorTickMark val="out"/>
        <c:minorTickMark val="none"/>
        <c:tickLblPos val="low"/>
        <c:txPr>
          <a:bodyPr rot="-2700000"/>
          <a:lstStyle/>
          <a:p>
            <a:pPr>
              <a:defRPr lang="fr-FR"/>
            </a:pPr>
            <a:endParaRPr lang="fr-FR"/>
          </a:p>
        </c:txPr>
        <c:crossAx val="417036160"/>
        <c:crossesAt val="0"/>
        <c:auto val="1"/>
        <c:lblOffset val="100"/>
        <c:baseTimeUnit val="days"/>
      </c:dateAx>
      <c:valAx>
        <c:axId val="417036160"/>
        <c:scaling>
          <c:orientation val="minMax"/>
        </c:scaling>
        <c:delete val="0"/>
        <c:axPos val="l"/>
        <c:majorGridlines/>
        <c:title>
          <c:tx>
            <c:rich>
              <a:bodyPr rot="-5400000" vert="horz"/>
              <a:lstStyle/>
              <a:p>
                <a:pPr>
                  <a:defRPr sz="1100" b="0" lang="fr-FR"/>
                </a:pPr>
                <a:r>
                  <a:rPr lang="fr-FR" sz="1100" b="1"/>
                  <a:t xml:space="preserve">Variation de la population en pourcentage pendant la période</a:t>
                </a:r>
              </a:p>
            </c:rich>
          </c:tx>
          <c:overlay val="0"/>
        </c:title>
        <c:numFmt formatCode="0%" sourceLinked="0"/>
        <c:majorTickMark val="out"/>
        <c:minorTickMark val="none"/>
        <c:tickLblPos val="nextTo"/>
        <c:crossAx val="417034240"/>
        <c:crosses val="autoZero"/>
        <c:crossBetween val="midCat"/>
      </c:valAx>
      <c:valAx>
        <c:axId val="417050624"/>
        <c:scaling>
          <c:orientation val="minMax"/>
        </c:scaling>
        <c:delete val="0"/>
        <c:axPos val="r"/>
        <c:numFmt formatCode="0" sourceLinked="1"/>
        <c:majorTickMark val="out"/>
        <c:minorTickMark val="none"/>
        <c:tickLblPos val="nextTo"/>
        <c:crossAx val="417052160"/>
        <c:crosses val="max"/>
        <c:crossBetween val="between"/>
      </c:valAx>
      <c:dateAx>
        <c:axId val="417052160"/>
        <c:scaling>
          <c:orientation val="minMax"/>
        </c:scaling>
        <c:delete val="1"/>
        <c:axPos val="b"/>
        <c:numFmt formatCode="[$-40C]d\-mmm;@" sourceLinked="1"/>
        <c:majorTickMark val="out"/>
        <c:minorTickMark val="none"/>
        <c:tickLblPos val="nextTo"/>
        <c:crossAx val="417050624"/>
        <c:crosses val="autoZero"/>
        <c:auto val="1"/>
        <c:lblOffset val="100"/>
        <c:baseTimeUnit val="days"/>
        <c:majorUnit val="1"/>
        <c:minorUnit val="1"/>
      </c:dateAx>
    </c:plotArea>
    <c:legend>
      <c:legendPos val="r"/>
      <c:layout>
        <c:manualLayout>
          <c:xMode val="edge"/>
          <c:yMode val="edge"/>
          <c:x val="0.3678582061205844"/>
          <c:y val="0.19793238139728608"/>
          <c:w val="0.286592596091719"/>
          <c:h val="0.13123019587871368"/>
        </c:manualLayout>
      </c:layout>
      <c:overlay val="0"/>
      <c:spPr>
        <a:solidFill>
          <a:schemeClr val="bg1"/>
        </a:solidFill>
      </c:spPr>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54029872446247"/>
          <c:y val="0.26682019427003761"/>
          <c:w val="0.68047390446079281"/>
          <c:h val="0.5713791834413231"/>
        </c:manualLayout>
      </c:layout>
      <c:lineChart>
        <c:grouping val="standard"/>
        <c:varyColors val="0"/>
        <c:ser>
          <c:idx val="1"/>
          <c:order val="0"/>
          <c:tx>
            <c:v>Taux d’accroissement de la population de varroas</c:v>
          </c:tx>
          <c:spPr>
            <a:ln>
              <a:solidFill>
                <a:srgbClr val="FF0000"/>
              </a:solidFill>
            </a:ln>
          </c:spPr>
          <c:marker>
            <c:symbol val="circle"/>
            <c:size val="6"/>
            <c:spPr>
              <a:solidFill>
                <a:srgbClr val="FF0000"/>
              </a:solidFill>
              <a:ln>
                <a:noFill/>
              </a:ln>
            </c:spPr>
          </c:marker>
          <c:dLbls>
            <c:delete val="1"/>
          </c:dLbls>
          <c:cat>
            <c:numRef>
              <c:f>'Taux de croissance r'!$B$30:$B$54</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principal'!$DD$5:$DD$29</c:f>
              <c:numCache>
                <c:formatCode>0.000</c:formatCode>
                <c:ptCount val="25"/>
                <c:pt idx="0">
                  <c:v>-5.0125418235442863E-3</c:v>
                </c:pt>
                <c:pt idx="1">
                  <c:v>2.0823662100919679E-2</c:v>
                </c:pt>
                <c:pt idx="2">
                  <c:v>2.2065264002602884E-2</c:v>
                </c:pt>
                <c:pt idx="3">
                  <c:v>2.7424563300131304E-2</c:v>
                </c:pt>
                <c:pt idx="4">
                  <c:v>2.9482251264468896E-2</c:v>
                </c:pt>
                <c:pt idx="5">
                  <c:v>3.7407924845798232E-2</c:v>
                </c:pt>
                <c:pt idx="6">
                  <c:v>4.498676952804382E-2</c:v>
                </c:pt>
                <c:pt idx="7">
                  <c:v>5.1143018443206859E-2</c:v>
                </c:pt>
                <c:pt idx="8">
                  <c:v>4.8750503060226928E-2</c:v>
                </c:pt>
                <c:pt idx="9">
                  <c:v>4.5138711588727939E-2</c:v>
                </c:pt>
                <c:pt idx="10">
                  <c:v>4.2157037364144417E-2</c:v>
                </c:pt>
                <c:pt idx="11">
                  <c:v>3.9423314037695847E-2</c:v>
                </c:pt>
                <c:pt idx="12">
                  <c:v>3.7556015607528026E-2</c:v>
                </c:pt>
                <c:pt idx="13">
                  <c:v>3.5293569098724553E-2</c:v>
                </c:pt>
                <c:pt idx="14">
                  <c:v>3.4306858441736046E-2</c:v>
                </c:pt>
                <c:pt idx="15">
                  <c:v>3.4398891497080808E-2</c:v>
                </c:pt>
                <c:pt idx="16">
                  <c:v>3.2726238096280898E-2</c:v>
                </c:pt>
                <c:pt idx="17">
                  <c:v>3.5625275880967873E-2</c:v>
                </c:pt>
                <c:pt idx="18">
                  <c:v>2.8965329265222054E-2</c:v>
                </c:pt>
                <c:pt idx="19">
                  <c:v>-5.0125418235442863E-3</c:v>
                </c:pt>
                <c:pt idx="20">
                  <c:v>-5.0125418235442863E-3</c:v>
                </c:pt>
                <c:pt idx="21">
                  <c:v>-5.0125418235442863E-3</c:v>
                </c:pt>
                <c:pt idx="22">
                  <c:v>-5.0125418235442863E-3</c:v>
                </c:pt>
                <c:pt idx="23">
                  <c:v>-5.0125418235442863E-3</c:v>
                </c:pt>
                <c:pt idx="24">
                  <c:v>-5.0125418235442863E-3</c:v>
                </c:pt>
              </c:numCache>
            </c:numRef>
          </c:val>
          <c:smooth val="0"/>
          <c:extLst>
            <c:ext xmlns:c16="http://schemas.microsoft.com/office/drawing/2014/chart" uri="{C3380CC4-5D6E-409C-BE32-E72D297353CC}">
              <c16:uniqueId val="{00000000-F185-4761-859D-70443AD83A8B}"/>
            </c:ext>
          </c:extLst>
        </c:ser>
        <c:dLbls>
          <c:showLegendKey val="0"/>
          <c:showVal val="1"/>
          <c:showCatName val="0"/>
          <c:showSerName val="0"/>
          <c:showPercent val="0"/>
          <c:showBubbleSize val="0"/>
        </c:dLbls>
        <c:marker val="1"/>
        <c:smooth val="0"/>
        <c:axId val="416973568"/>
        <c:axId val="416993664"/>
      </c:lineChart>
      <c:lineChart>
        <c:grouping val="standard"/>
        <c:varyColors val="0"/>
        <c:ser>
          <c:idx val="0"/>
          <c:order val="1"/>
          <c:tx>
            <c:strRef>
              <c:f>'Taux de croissance r'!$H$29</c:f>
              <c:strCache>
                <c:ptCount val="1"/>
                <c:pt idx="0">
                  <c:v>Variation de la population de varroas indépendante du traitement</c:v>
                </c:pt>
              </c:strCache>
            </c:strRef>
          </c:tx>
          <c:spPr>
            <a:ln>
              <a:solidFill>
                <a:schemeClr val="tx1"/>
              </a:solidFill>
            </a:ln>
          </c:spPr>
          <c:marker>
            <c:symbol val="circle"/>
            <c:size val="5"/>
            <c:spPr>
              <a:solidFill>
                <a:schemeClr val="tx1"/>
              </a:solidFill>
              <a:ln>
                <a:noFill/>
              </a:ln>
            </c:spPr>
          </c:marker>
          <c:dLbls>
            <c:delete val="1"/>
          </c:dLbls>
          <c:cat>
            <c:numRef>
              <c:f>'Modèle principal'!$BA$5:$BA$29</c:f>
              <c:numCache>
                <c:formatCode>d\ 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'Taux de croissance r'!$H$30:$H$54</c:f>
              <c:numCache>
                <c:formatCode>#,##0</c:formatCode>
                <c:ptCount val="25"/>
                <c:pt idx="0">
                  <c:v>0</c:v>
                </c:pt>
                <c:pt idx="1">
                  <c:v>-7.3399166893701562</c:v>
                </c:pt>
                <c:pt idx="2">
                  <c:v>7.6610001511959069</c:v>
                </c:pt>
                <c:pt idx="3">
                  <c:v>24.09957417495562</c:v>
                </c:pt>
                <c:pt idx="4">
                  <c:v>34.254294628018627</c:v>
                </c:pt>
                <c:pt idx="5">
                  <c:v>51.952516380988811</c:v>
                </c:pt>
                <c:pt idx="6">
                  <c:v>89.671272542147022</c:v>
                </c:pt>
                <c:pt idx="7">
                  <c:v>174.98279298321381</c:v>
                </c:pt>
                <c:pt idx="8">
                  <c:v>281.84309911408667</c:v>
                </c:pt>
                <c:pt idx="9">
                  <c:v>436.96872801328709</c:v>
                </c:pt>
                <c:pt idx="10">
                  <c:v>631.05625473927716</c:v>
                </c:pt>
                <c:pt idx="11">
                  <c:v>883.62532403162049</c:v>
                </c:pt>
                <c:pt idx="12">
                  <c:v>1153.3942465539644</c:v>
                </c:pt>
                <c:pt idx="13">
                  <c:v>1516.1467265682409</c:v>
                </c:pt>
                <c:pt idx="14">
                  <c:v>1852.4036794729309</c:v>
                </c:pt>
                <c:pt idx="15">
                  <c:v>2359.9169630540773</c:v>
                </c:pt>
                <c:pt idx="16">
                  <c:v>2709.8748716083919</c:v>
                </c:pt>
                <c:pt idx="17">
                  <c:v>592.33591937119309</c:v>
                </c:pt>
                <c:pt idx="18">
                  <c:v>856.62622978491117</c:v>
                </c:pt>
                <c:pt idx="19">
                  <c:v>628.17876054781709</c:v>
                </c:pt>
                <c:pt idx="20">
                  <c:v>-1138.3028361975753</c:v>
                </c:pt>
                <c:pt idx="21">
                  <c:v>-771.58307327783041</c:v>
                </c:pt>
                <c:pt idx="22">
                  <c:v>-299.11754255587357</c:v>
                </c:pt>
                <c:pt idx="23">
                  <c:v>0</c:v>
                </c:pt>
                <c:pt idx="24">
                  <c:v>0</c:v>
                </c:pt>
              </c:numCache>
            </c:numRef>
          </c:val>
          <c:smooth val="0"/>
          <c:extLst>
            <c:ext xmlns:c16="http://schemas.microsoft.com/office/drawing/2014/chart" uri="{C3380CC4-5D6E-409C-BE32-E72D297353CC}">
              <c16:uniqueId val="{00000001-F185-4761-859D-70443AD83A8B}"/>
            </c:ext>
          </c:extLst>
        </c:ser>
        <c:ser>
          <c:idx val="2"/>
          <c:order val="2"/>
          <c:tx>
            <c:v>Traitement</c:v>
          </c:tx>
          <c:marker>
            <c:symbol val="triangle"/>
            <c:size val="8"/>
            <c:spPr>
              <a:solidFill>
                <a:srgbClr val="FF0000"/>
              </a:solidFill>
              <a:ln>
                <a:solidFill>
                  <a:schemeClr val="tx1"/>
                </a:solidFill>
              </a:ln>
            </c:spPr>
          </c:marker>
          <c:dLbls>
            <c:dLbl>
              <c:idx val="16"/>
              <c:tx>
                <c:rich>
                  <a:bodyPr/>
                  <a:lstStyle/>
                  <a:p>
                    <a:r>
                      <a:rPr lang="fr-FR" b="0"/>
                      <a:t>95%</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185-4761-859D-70443AD83A8B}"/>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'Modèle principal'!$E$21:$AB$21</c:f>
              <c:numCache>
                <c:formatCode>0%</c:formatCode>
                <c:ptCount val="24"/>
                <c:pt idx="14">
                  <c:v>0.8</c:v>
                </c:pt>
              </c:numCache>
            </c:numRef>
          </c:val>
          <c:smooth val="0"/>
          <c:extLst>
            <c:ext xmlns:c16="http://schemas.microsoft.com/office/drawing/2014/chart" uri="{C3380CC4-5D6E-409C-BE32-E72D297353CC}">
              <c16:uniqueId val="{00000003-F185-4761-859D-70443AD83A8B}"/>
            </c:ext>
          </c:extLst>
        </c:ser>
        <c:dLbls>
          <c:showLegendKey val="0"/>
          <c:showVal val="1"/>
          <c:showCatName val="0"/>
          <c:showSerName val="0"/>
          <c:showPercent val="0"/>
          <c:showBubbleSize val="0"/>
        </c:dLbls>
        <c:marker val="1"/>
        <c:smooth val="0"/>
        <c:axId val="417001856"/>
        <c:axId val="416995584"/>
      </c:lineChart>
      <c:dateAx>
        <c:axId val="416973568"/>
        <c:scaling>
          <c:orientation val="minMax"/>
        </c:scaling>
        <c:delete val="0"/>
        <c:axPos val="b"/>
        <c:numFmt formatCode="[$-40C]d\-mmm;@" sourceLinked="1"/>
        <c:majorTickMark val="out"/>
        <c:minorTickMark val="none"/>
        <c:tickLblPos val="low"/>
        <c:txPr>
          <a:bodyPr rot="0" vert="horz"/>
          <a:lstStyle/>
          <a:p>
            <a:pPr>
              <a:defRPr lang="fr-FR"/>
            </a:pPr>
            <a:endParaRPr lang="fr-FR"/>
          </a:p>
        </c:txPr>
        <c:crossAx val="416993664"/>
        <c:crossesAt val="0"/>
        <c:auto val="1"/>
        <c:lblOffset val="100"/>
        <c:baseTimeUnit val="days"/>
      </c:dateAx>
      <c:valAx>
        <c:axId val="416993664"/>
        <c:scaling>
          <c:orientation val="minMax"/>
        </c:scaling>
        <c:delete val="0"/>
        <c:axPos val="l"/>
        <c:majorGridlines/>
        <c:title>
          <c:tx>
            <c:rich>
              <a:bodyPr rot="-5400000" vert="horz"/>
              <a:lstStyle/>
              <a:p>
                <a:pPr>
                  <a:defRPr sz="1200" b="0" lang="fr-FR">
                    <a:solidFill>
                      <a:srgbClr val="FF0000"/>
                    </a:solidFill>
                  </a:defRPr>
                </a:pPr>
                <a:r>
                  <a:rPr lang="fr-FR" sz="1200" b="0">
                    <a:solidFill>
                      <a:srgbClr val="FF0000"/>
                    </a:solidFill>
                  </a:rPr>
                  <a:t xml:space="preserve">Taux logarithmique quotidien r des varroas</a:t>
                </a:r>
              </a:p>
            </c:rich>
          </c:tx>
          <c:overlay val="0"/>
        </c:title>
        <c:numFmt formatCode="0.000" sourceLinked="1"/>
        <c:majorTickMark val="out"/>
        <c:minorTickMark val="none"/>
        <c:tickLblPos val="nextTo"/>
        <c:crossAx val="416973568"/>
        <c:crosses val="autoZero"/>
        <c:crossBetween val="midCat"/>
      </c:valAx>
      <c:valAx>
        <c:axId val="416995584"/>
        <c:scaling>
          <c:orientation val="minMax"/>
        </c:scaling>
        <c:delete val="0"/>
        <c:axPos val="r"/>
        <c:title>
          <c:tx>
            <c:rich>
              <a:bodyPr rot="-5400000" vert="horz"/>
              <a:lstStyle/>
              <a:p>
                <a:pPr>
                  <a:defRPr lang="fr-FR"/>
                </a:pPr>
                <a:r>
                  <a:rPr lang="fr-FR"/>
                  <a:t xml:space="preserve">Variation de la population de varroas hors pertes dues au traitement</a:t>
                </a:r>
              </a:p>
            </c:rich>
          </c:tx>
          <c:overlay val="0"/>
        </c:title>
        <c:numFmt formatCode="#,##0" sourceLinked="1"/>
        <c:majorTickMark val="out"/>
        <c:minorTickMark val="none"/>
        <c:tickLblPos val="nextTo"/>
        <c:crossAx val="417001856"/>
        <c:crosses val="max"/>
        <c:crossBetween val="between"/>
      </c:valAx>
      <c:dateAx>
        <c:axId val="417001856"/>
        <c:scaling>
          <c:orientation val="minMax"/>
        </c:scaling>
        <c:delete val="1"/>
        <c:axPos val="b"/>
        <c:numFmt formatCode="d\ mmm" sourceLinked="1"/>
        <c:majorTickMark val="out"/>
        <c:minorTickMark val="none"/>
        <c:tickLblPos val="nextTo"/>
        <c:crossAx val="416995584"/>
        <c:crosses val="autoZero"/>
        <c:auto val="1"/>
        <c:lblOffset val="100"/>
        <c:baseTimeUnit val="days"/>
        <c:majorUnit val="1"/>
        <c:minorUnit val="1"/>
      </c:dateAx>
    </c:plotArea>
    <c:legend>
      <c:legendPos val="r"/>
      <c:layout>
        <c:manualLayout>
          <c:xMode val="edge"/>
          <c:yMode val="edge"/>
          <c:x val="0.13301456438038542"/>
          <c:y val="0.27106192395937134"/>
          <c:w val="0.41314791438017939"/>
          <c:h val="0.10731378565449197"/>
        </c:manualLayout>
      </c:layout>
      <c:overlay val="0"/>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951751742301969"/>
          <c:y val="4.3667727374786122E-2"/>
          <c:w val="0.77464173422335103"/>
          <c:h val="0.85664022664122819"/>
        </c:manualLayout>
      </c:layout>
      <c:areaChart>
        <c:grouping val="standard"/>
        <c:varyColors val="0"/>
        <c:ser>
          <c:idx val="1"/>
          <c:order val="0"/>
          <c:tx>
            <c:v>Population d’abeilles adultes</c:v>
          </c:tx>
          <c:spPr>
            <a:solidFill>
              <a:srgbClr val="FFE593"/>
            </a:solidFill>
            <a:ln>
              <a:solidFill>
                <a:srgbClr val="FFC000"/>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principal'!$BR$5:$BR$29</c:f>
              <c:numCache>
                <c:formatCode>General</c:formatCode>
                <c:ptCount val="25"/>
                <c:pt idx="0">
                  <c:v>16000</c:v>
                </c:pt>
                <c:pt idx="1">
                  <c:v>16000</c:v>
                </c:pt>
                <c:pt idx="2">
                  <c:v>16000</c:v>
                </c:pt>
                <c:pt idx="3">
                  <c:v>14000</c:v>
                </c:pt>
                <c:pt idx="4">
                  <c:v>14000</c:v>
                </c:pt>
                <c:pt idx="5">
                  <c:v>12000</c:v>
                </c:pt>
                <c:pt idx="6">
                  <c:v>12000</c:v>
                </c:pt>
                <c:pt idx="7">
                  <c:v>16000</c:v>
                </c:pt>
                <c:pt idx="8">
                  <c:v>22000</c:v>
                </c:pt>
                <c:pt idx="9">
                  <c:v>30000</c:v>
                </c:pt>
                <c:pt idx="10">
                  <c:v>38000</c:v>
                </c:pt>
                <c:pt idx="11">
                  <c:v>44000</c:v>
                </c:pt>
                <c:pt idx="12">
                  <c:v>48000</c:v>
                </c:pt>
                <c:pt idx="13">
                  <c:v>50000</c:v>
                </c:pt>
                <c:pt idx="14">
                  <c:v>50000</c:v>
                </c:pt>
                <c:pt idx="15">
                  <c:v>44000</c:v>
                </c:pt>
                <c:pt idx="16">
                  <c:v>38000</c:v>
                </c:pt>
                <c:pt idx="17">
                  <c:v>32000</c:v>
                </c:pt>
                <c:pt idx="18">
                  <c:v>30000</c:v>
                </c:pt>
                <c:pt idx="19">
                  <c:v>24000</c:v>
                </c:pt>
                <c:pt idx="20">
                  <c:v>18000</c:v>
                </c:pt>
                <c:pt idx="21">
                  <c:v>17000</c:v>
                </c:pt>
                <c:pt idx="22">
                  <c:v>16500</c:v>
                </c:pt>
                <c:pt idx="23">
                  <c:v>16000</c:v>
                </c:pt>
                <c:pt idx="24">
                  <c:v>16000</c:v>
                </c:pt>
              </c:numCache>
            </c:numRef>
          </c:val>
          <c:extLst>
            <c:ext xmlns:c16="http://schemas.microsoft.com/office/drawing/2014/chart" uri="{C3380CC4-5D6E-409C-BE32-E72D297353CC}">
              <c16:uniqueId val="{00000000-F0D1-4907-AA24-0423289339B2}"/>
            </c:ext>
          </c:extLst>
        </c:ser>
        <c:ser>
          <c:idx val="2"/>
          <c:order val="2"/>
          <c:tx>
            <c:v>Nombre total de nymphes</c:v>
          </c:tx>
          <c:spPr>
            <a:solidFill>
              <a:srgbClr val="FFC000"/>
            </a:solidFill>
            <a:ln w="12700">
              <a:solidFill>
                <a:schemeClr val="accent6"/>
              </a:solidFill>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principal'!$BV$5:$BV$29</c:f>
              <c:numCache>
                <c:formatCode>General</c:formatCode>
                <c:ptCount val="25"/>
                <c:pt idx="0">
                  <c:v>0.6</c:v>
                </c:pt>
                <c:pt idx="1">
                  <c:v>675</c:v>
                </c:pt>
                <c:pt idx="2">
                  <c:v>891</c:v>
                </c:pt>
                <c:pt idx="3">
                  <c:v>2025</c:v>
                </c:pt>
                <c:pt idx="4">
                  <c:v>2700</c:v>
                </c:pt>
                <c:pt idx="5">
                  <c:v>5400</c:v>
                </c:pt>
                <c:pt idx="6">
                  <c:v>8100</c:v>
                </c:pt>
                <c:pt idx="7">
                  <c:v>13500</c:v>
                </c:pt>
                <c:pt idx="8">
                  <c:v>16200</c:v>
                </c:pt>
                <c:pt idx="9">
                  <c:v>17550</c:v>
                </c:pt>
                <c:pt idx="10">
                  <c:v>18900</c:v>
                </c:pt>
                <c:pt idx="11">
                  <c:v>17550</c:v>
                </c:pt>
                <c:pt idx="12">
                  <c:v>16200</c:v>
                </c:pt>
                <c:pt idx="13">
                  <c:v>13500</c:v>
                </c:pt>
                <c:pt idx="14">
                  <c:v>12150</c:v>
                </c:pt>
                <c:pt idx="15">
                  <c:v>10800</c:v>
                </c:pt>
                <c:pt idx="16">
                  <c:v>9450</c:v>
                </c:pt>
                <c:pt idx="17">
                  <c:v>10800</c:v>
                </c:pt>
                <c:pt idx="18">
                  <c:v>5400</c:v>
                </c:pt>
                <c:pt idx="19">
                  <c:v>1350</c:v>
                </c:pt>
                <c:pt idx="20">
                  <c:v>675</c:v>
                </c:pt>
                <c:pt idx="21">
                  <c:v>337.5</c:v>
                </c:pt>
                <c:pt idx="22">
                  <c:v>270</c:v>
                </c:pt>
                <c:pt idx="23">
                  <c:v>0.6</c:v>
                </c:pt>
                <c:pt idx="24">
                  <c:v>337.5</c:v>
                </c:pt>
              </c:numCache>
            </c:numRef>
          </c:val>
          <c:extLst>
            <c:ext xmlns:c16="http://schemas.microsoft.com/office/drawing/2014/chart" uri="{C3380CC4-5D6E-409C-BE32-E72D297353CC}">
              <c16:uniqueId val="{00000001-F0D1-4907-AA24-0423289339B2}"/>
            </c:ext>
          </c:extLst>
        </c:ser>
        <c:ser>
          <c:idx val="6"/>
          <c:order val="3"/>
          <c:tx>
            <c:v>Nymphes parasitées</c:v>
          </c:tx>
          <c:spPr>
            <a:solidFill>
              <a:srgbClr val="FF0000">
                <a:alpha val="50000"/>
              </a:srgbClr>
            </a:solidFill>
            <a:ln w="12700">
              <a:solidFill>
                <a:srgbClr val="FF0000"/>
              </a:solidFill>
              <a:prstDash val="solid"/>
            </a:ln>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principal'!$BW$5:$BW$29</c:f>
              <c:numCache>
                <c:formatCode>0</c:formatCode>
                <c:ptCount val="25"/>
                <c:pt idx="0">
                  <c:v>0</c:v>
                </c:pt>
                <c:pt idx="1">
                  <c:v>35.747175646525996</c:v>
                </c:pt>
                <c:pt idx="2">
                  <c:v>40.716517047775838</c:v>
                </c:pt>
                <c:pt idx="3">
                  <c:v>60.9809465685221</c:v>
                </c:pt>
                <c:pt idx="4">
                  <c:v>82.681464489428109</c:v>
                </c:pt>
                <c:pt idx="5">
                  <c:v>135.35432352785415</c:v>
                </c:pt>
                <c:pt idx="6">
                  <c:v>199.88078715942584</c:v>
                </c:pt>
                <c:pt idx="7">
                  <c:v>309.7128168787234</c:v>
                </c:pt>
                <c:pt idx="8">
                  <c:v>470.87671267362936</c:v>
                </c:pt>
                <c:pt idx="9">
                  <c:v>689.12202094963266</c:v>
                </c:pt>
                <c:pt idx="10">
                  <c:v>1030.3707694003156</c:v>
                </c:pt>
                <c:pt idx="11">
                  <c:v>1420.5481302330581</c:v>
                </c:pt>
                <c:pt idx="12">
                  <c:v>1902.0879601168067</c:v>
                </c:pt>
                <c:pt idx="13">
                  <c:v>2420.8070715111312</c:v>
                </c:pt>
                <c:pt idx="14">
                  <c:v>3040.2091487330536</c:v>
                </c:pt>
                <c:pt idx="15">
                  <c:v>3779.559641126008</c:v>
                </c:pt>
                <c:pt idx="16">
                  <c:v>1221.2725059464972</c:v>
                </c:pt>
                <c:pt idx="17">
                  <c:v>1613.2254870631184</c:v>
                </c:pt>
                <c:pt idx="18">
                  <c:v>1697.3918452984603</c:v>
                </c:pt>
                <c:pt idx="19">
                  <c:v>1016.6456832852436</c:v>
                </c:pt>
                <c:pt idx="20">
                  <c:v>579.71775358442017</c:v>
                </c:pt>
                <c:pt idx="21">
                  <c:v>315.79671279476065</c:v>
                </c:pt>
                <c:pt idx="22">
                  <c:v>255.94868717474108</c:v>
                </c:pt>
                <c:pt idx="23">
                  <c:v>0</c:v>
                </c:pt>
                <c:pt idx="24">
                  <c:v>291.42008353492895</c:v>
                </c:pt>
              </c:numCache>
            </c:numRef>
          </c:val>
          <c:extLst>
            <c:ext xmlns:c16="http://schemas.microsoft.com/office/drawing/2014/chart" uri="{C3380CC4-5D6E-409C-BE32-E72D297353CC}">
              <c16:uniqueId val="{00000002-F0D1-4907-AA24-0423289339B2}"/>
            </c:ext>
          </c:extLst>
        </c:ser>
        <c:dLbls>
          <c:showLegendKey val="0"/>
          <c:showVal val="0"/>
          <c:showCatName val="0"/>
          <c:showSerName val="0"/>
          <c:showPercent val="0"/>
          <c:showBubbleSize val="0"/>
        </c:dLbls>
        <c:axId val="416628096"/>
        <c:axId val="416629888"/>
      </c:areaChart>
      <c:areaChart>
        <c:grouping val="standard"/>
        <c:varyColors val="0"/>
        <c:ser>
          <c:idx val="9"/>
          <c:order val="9"/>
          <c:tx>
            <c:v>Effondrement</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3-F0D1-4907-AA24-0423289339B2}"/>
            </c:ext>
          </c:extLst>
        </c:ser>
        <c:ser>
          <c:idx val="10"/>
          <c:order val="10"/>
          <c:tx>
            <c:v>Effondrement hivernal</c:v>
          </c:tx>
          <c:spPr>
            <a:solidFill>
              <a:srgbClr val="FF0000"/>
            </a:solidFill>
          </c:spP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principal'!$EB$5:$EB$29</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100</c:v>
                </c:pt>
                <c:pt idx="24">
                  <c:v>100</c:v>
                </c:pt>
              </c:numCache>
            </c:numRef>
          </c:val>
          <c:extLst>
            <c:ext xmlns:c16="http://schemas.microsoft.com/office/drawing/2014/chart" uri="{C3380CC4-5D6E-409C-BE32-E72D297353CC}">
              <c16:uniqueId val="{00000004-F0D1-4907-AA24-0423289339B2}"/>
            </c:ext>
          </c:extLst>
        </c:ser>
        <c:dLbls>
          <c:showLegendKey val="0"/>
          <c:showVal val="0"/>
          <c:showCatName val="0"/>
          <c:showSerName val="0"/>
          <c:showPercent val="0"/>
          <c:showBubbleSize val="0"/>
        </c:dLbls>
        <c:axId val="416654464"/>
        <c:axId val="416631808"/>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0.10456963698887521"/>
                  <c:y val="2.27896369957755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D1-4907-AA24-0423289339B2}"/>
                </c:ext>
              </c:extLst>
            </c:dLbl>
            <c:dLbl>
              <c:idx val="1"/>
              <c:delete val="1"/>
              <c:extLst>
                <c:ext xmlns:c15="http://schemas.microsoft.com/office/drawing/2012/chart" uri="{CE6537A1-D6FC-4f65-9D91-7224C49458BB}"/>
                <c:ext xmlns:c16="http://schemas.microsoft.com/office/drawing/2014/chart" uri="{C3380CC4-5D6E-409C-BE32-E72D297353CC}">
                  <c16:uniqueId val="{00000006-F0D1-4907-AA24-0423289339B2}"/>
                </c:ext>
              </c:extLst>
            </c:dLbl>
            <c:dLbl>
              <c:idx val="2"/>
              <c:delete val="1"/>
              <c:extLst>
                <c:ext xmlns:c15="http://schemas.microsoft.com/office/drawing/2012/chart" uri="{CE6537A1-D6FC-4f65-9D91-7224C49458BB}"/>
                <c:ext xmlns:c16="http://schemas.microsoft.com/office/drawing/2014/chart" uri="{C3380CC4-5D6E-409C-BE32-E72D297353CC}">
                  <c16:uniqueId val="{00000007-F0D1-4907-AA24-0423289339B2}"/>
                </c:ext>
              </c:extLst>
            </c:dLbl>
            <c:dLbl>
              <c:idx val="3"/>
              <c:delete val="1"/>
              <c:extLst>
                <c:ext xmlns:c15="http://schemas.microsoft.com/office/drawing/2012/chart" uri="{CE6537A1-D6FC-4f65-9D91-7224C49458BB}"/>
                <c:ext xmlns:c16="http://schemas.microsoft.com/office/drawing/2014/chart" uri="{C3380CC4-5D6E-409C-BE32-E72D297353CC}">
                  <c16:uniqueId val="{00000008-F0D1-4907-AA24-0423289339B2}"/>
                </c:ext>
              </c:extLst>
            </c:dLbl>
            <c:dLbl>
              <c:idx val="4"/>
              <c:delete val="1"/>
              <c:extLst>
                <c:ext xmlns:c15="http://schemas.microsoft.com/office/drawing/2012/chart" uri="{CE6537A1-D6FC-4f65-9D91-7224C49458BB}"/>
                <c:ext xmlns:c16="http://schemas.microsoft.com/office/drawing/2014/chart" uri="{C3380CC4-5D6E-409C-BE32-E72D297353CC}">
                  <c16:uniqueId val="{00000009-F0D1-4907-AA24-0423289339B2}"/>
                </c:ext>
              </c:extLst>
            </c:dLbl>
            <c:dLbl>
              <c:idx val="5"/>
              <c:delete val="1"/>
              <c:extLst>
                <c:ext xmlns:c15="http://schemas.microsoft.com/office/drawing/2012/chart" uri="{CE6537A1-D6FC-4f65-9D91-7224C49458BB}"/>
                <c:ext xmlns:c16="http://schemas.microsoft.com/office/drawing/2014/chart" uri="{C3380CC4-5D6E-409C-BE32-E72D297353CC}">
                  <c16:uniqueId val="{0000000A-F0D1-4907-AA24-0423289339B2}"/>
                </c:ext>
              </c:extLst>
            </c:dLbl>
            <c:dLbl>
              <c:idx val="6"/>
              <c:delete val="1"/>
              <c:extLst>
                <c:ext xmlns:c15="http://schemas.microsoft.com/office/drawing/2012/chart" uri="{CE6537A1-D6FC-4f65-9D91-7224C49458BB}"/>
                <c:ext xmlns:c16="http://schemas.microsoft.com/office/drawing/2014/chart" uri="{C3380CC4-5D6E-409C-BE32-E72D297353CC}">
                  <c16:uniqueId val="{0000000B-F0D1-4907-AA24-0423289339B2}"/>
                </c:ext>
              </c:extLst>
            </c:dLbl>
            <c:dLbl>
              <c:idx val="7"/>
              <c:delete val="1"/>
              <c:extLst>
                <c:ext xmlns:c15="http://schemas.microsoft.com/office/drawing/2012/chart" uri="{CE6537A1-D6FC-4f65-9D91-7224C49458BB}"/>
                <c:ext xmlns:c16="http://schemas.microsoft.com/office/drawing/2014/chart" uri="{C3380CC4-5D6E-409C-BE32-E72D297353CC}">
                  <c16:uniqueId val="{0000000C-F0D1-4907-AA24-0423289339B2}"/>
                </c:ext>
              </c:extLst>
            </c:dLbl>
            <c:dLbl>
              <c:idx val="8"/>
              <c:delete val="1"/>
              <c:extLst>
                <c:ext xmlns:c15="http://schemas.microsoft.com/office/drawing/2012/chart" uri="{CE6537A1-D6FC-4f65-9D91-7224C49458BB}"/>
                <c:ext xmlns:c16="http://schemas.microsoft.com/office/drawing/2014/chart" uri="{C3380CC4-5D6E-409C-BE32-E72D297353CC}">
                  <c16:uniqueId val="{0000000D-F0D1-4907-AA24-0423289339B2}"/>
                </c:ext>
              </c:extLst>
            </c:dLbl>
            <c:dLbl>
              <c:idx val="9"/>
              <c:delete val="1"/>
              <c:extLst>
                <c:ext xmlns:c15="http://schemas.microsoft.com/office/drawing/2012/chart" uri="{CE6537A1-D6FC-4f65-9D91-7224C49458BB}"/>
                <c:ext xmlns:c16="http://schemas.microsoft.com/office/drawing/2014/chart" uri="{C3380CC4-5D6E-409C-BE32-E72D297353CC}">
                  <c16:uniqueId val="{0000000E-F0D1-4907-AA24-0423289339B2}"/>
                </c:ext>
              </c:extLst>
            </c:dLbl>
            <c:dLbl>
              <c:idx val="10"/>
              <c:delete val="1"/>
              <c:extLst>
                <c:ext xmlns:c15="http://schemas.microsoft.com/office/drawing/2012/chart" uri="{CE6537A1-D6FC-4f65-9D91-7224C49458BB}"/>
                <c:ext xmlns:c16="http://schemas.microsoft.com/office/drawing/2014/chart" uri="{C3380CC4-5D6E-409C-BE32-E72D297353CC}">
                  <c16:uniqueId val="{0000000F-F0D1-4907-AA24-0423289339B2}"/>
                </c:ext>
              </c:extLst>
            </c:dLbl>
            <c:dLbl>
              <c:idx val="11"/>
              <c:delete val="1"/>
              <c:extLst>
                <c:ext xmlns:c15="http://schemas.microsoft.com/office/drawing/2012/chart" uri="{CE6537A1-D6FC-4f65-9D91-7224C49458BB}"/>
                <c:ext xmlns:c16="http://schemas.microsoft.com/office/drawing/2014/chart" uri="{C3380CC4-5D6E-409C-BE32-E72D297353CC}">
                  <c16:uniqueId val="{00000010-F0D1-4907-AA24-0423289339B2}"/>
                </c:ext>
              </c:extLst>
            </c:dLbl>
            <c:dLbl>
              <c:idx val="12"/>
              <c:delete val="1"/>
              <c:extLst>
                <c:ext xmlns:c15="http://schemas.microsoft.com/office/drawing/2012/chart" uri="{CE6537A1-D6FC-4f65-9D91-7224C49458BB}"/>
                <c:ext xmlns:c16="http://schemas.microsoft.com/office/drawing/2014/chart" uri="{C3380CC4-5D6E-409C-BE32-E72D297353CC}">
                  <c16:uniqueId val="{00000011-F0D1-4907-AA24-0423289339B2}"/>
                </c:ext>
              </c:extLst>
            </c:dLbl>
            <c:dLbl>
              <c:idx val="13"/>
              <c:delete val="1"/>
              <c:extLst>
                <c:ext xmlns:c15="http://schemas.microsoft.com/office/drawing/2012/chart" uri="{CE6537A1-D6FC-4f65-9D91-7224C49458BB}"/>
                <c:ext xmlns:c16="http://schemas.microsoft.com/office/drawing/2014/chart" uri="{C3380CC4-5D6E-409C-BE32-E72D297353CC}">
                  <c16:uniqueId val="{00000012-F0D1-4907-AA24-0423289339B2}"/>
                </c:ext>
              </c:extLst>
            </c:dLbl>
            <c:dLbl>
              <c:idx val="14"/>
              <c:delete val="1"/>
              <c:extLst>
                <c:ext xmlns:c15="http://schemas.microsoft.com/office/drawing/2012/chart" uri="{CE6537A1-D6FC-4f65-9D91-7224C49458BB}"/>
                <c:ext xmlns:c16="http://schemas.microsoft.com/office/drawing/2014/chart" uri="{C3380CC4-5D6E-409C-BE32-E72D297353CC}">
                  <c16:uniqueId val="{00000013-F0D1-4907-AA24-0423289339B2}"/>
                </c:ext>
              </c:extLst>
            </c:dLbl>
            <c:dLbl>
              <c:idx val="15"/>
              <c:delete val="1"/>
              <c:extLst>
                <c:ext xmlns:c15="http://schemas.microsoft.com/office/drawing/2012/chart" uri="{CE6537A1-D6FC-4f65-9D91-7224C49458BB}"/>
                <c:ext xmlns:c16="http://schemas.microsoft.com/office/drawing/2014/chart" uri="{C3380CC4-5D6E-409C-BE32-E72D297353CC}">
                  <c16:uniqueId val="{00000014-F0D1-4907-AA24-0423289339B2}"/>
                </c:ext>
              </c:extLst>
            </c:dLbl>
            <c:dLbl>
              <c:idx val="16"/>
              <c:delete val="1"/>
              <c:extLst>
                <c:ext xmlns:c15="http://schemas.microsoft.com/office/drawing/2012/chart" uri="{CE6537A1-D6FC-4f65-9D91-7224C49458BB}"/>
                <c:ext xmlns:c16="http://schemas.microsoft.com/office/drawing/2014/chart" uri="{C3380CC4-5D6E-409C-BE32-E72D297353CC}">
                  <c16:uniqueId val="{00000015-F0D1-4907-AA24-0423289339B2}"/>
                </c:ext>
              </c:extLst>
            </c:dLbl>
            <c:dLbl>
              <c:idx val="17"/>
              <c:delete val="1"/>
              <c:extLst>
                <c:ext xmlns:c15="http://schemas.microsoft.com/office/drawing/2012/chart" uri="{CE6537A1-D6FC-4f65-9D91-7224C49458BB}"/>
                <c:ext xmlns:c16="http://schemas.microsoft.com/office/drawing/2014/chart" uri="{C3380CC4-5D6E-409C-BE32-E72D297353CC}">
                  <c16:uniqueId val="{00000016-F0D1-4907-AA24-0423289339B2}"/>
                </c:ext>
              </c:extLst>
            </c:dLbl>
            <c:dLbl>
              <c:idx val="18"/>
              <c:delete val="1"/>
              <c:extLst>
                <c:ext xmlns:c15="http://schemas.microsoft.com/office/drawing/2012/chart" uri="{CE6537A1-D6FC-4f65-9D91-7224C49458BB}"/>
                <c:ext xmlns:c16="http://schemas.microsoft.com/office/drawing/2014/chart" uri="{C3380CC4-5D6E-409C-BE32-E72D297353CC}">
                  <c16:uniqueId val="{00000017-F0D1-4907-AA24-0423289339B2}"/>
                </c:ext>
              </c:extLst>
            </c:dLbl>
            <c:dLbl>
              <c:idx val="19"/>
              <c:delete val="1"/>
              <c:extLst>
                <c:ext xmlns:c15="http://schemas.microsoft.com/office/drawing/2012/chart" uri="{CE6537A1-D6FC-4f65-9D91-7224C49458BB}"/>
                <c:ext xmlns:c16="http://schemas.microsoft.com/office/drawing/2014/chart" uri="{C3380CC4-5D6E-409C-BE32-E72D297353CC}">
                  <c16:uniqueId val="{00000018-F0D1-4907-AA24-0423289339B2}"/>
                </c:ext>
              </c:extLst>
            </c:dLbl>
            <c:dLbl>
              <c:idx val="20"/>
              <c:delete val="1"/>
              <c:extLst>
                <c:ext xmlns:c15="http://schemas.microsoft.com/office/drawing/2012/chart" uri="{CE6537A1-D6FC-4f65-9D91-7224C49458BB}"/>
                <c:ext xmlns:c16="http://schemas.microsoft.com/office/drawing/2014/chart" uri="{C3380CC4-5D6E-409C-BE32-E72D297353CC}">
                  <c16:uniqueId val="{00000019-F0D1-4907-AA24-0423289339B2}"/>
                </c:ext>
              </c:extLst>
            </c:dLbl>
            <c:dLbl>
              <c:idx val="21"/>
              <c:delete val="1"/>
              <c:extLst>
                <c:ext xmlns:c15="http://schemas.microsoft.com/office/drawing/2012/chart" uri="{CE6537A1-D6FC-4f65-9D91-7224C49458BB}"/>
                <c:ext xmlns:c16="http://schemas.microsoft.com/office/drawing/2014/chart" uri="{C3380CC4-5D6E-409C-BE32-E72D297353CC}">
                  <c16:uniqueId val="{0000001A-F0D1-4907-AA24-0423289339B2}"/>
                </c:ext>
              </c:extLst>
            </c:dLbl>
            <c:dLbl>
              <c:idx val="22"/>
              <c:delete val="1"/>
              <c:extLst>
                <c:ext xmlns:c15="http://schemas.microsoft.com/office/drawing/2012/chart" uri="{CE6537A1-D6FC-4f65-9D91-7224C49458BB}"/>
                <c:ext xmlns:c16="http://schemas.microsoft.com/office/drawing/2014/chart" uri="{C3380CC4-5D6E-409C-BE32-E72D297353CC}">
                  <c16:uniqueId val="{0000001B-F0D1-4907-AA24-0423289339B2}"/>
                </c:ext>
              </c:extLst>
            </c:dLbl>
            <c:dLbl>
              <c:idx val="23"/>
              <c:delete val="1"/>
              <c:extLst>
                <c:ext xmlns:c15="http://schemas.microsoft.com/office/drawing/2012/chart" uri="{CE6537A1-D6FC-4f65-9D91-7224C49458BB}"/>
                <c:ext xmlns:c16="http://schemas.microsoft.com/office/drawing/2014/chart" uri="{C3380CC4-5D6E-409C-BE32-E72D297353CC}">
                  <c16:uniqueId val="{0000001C-F0D1-4907-AA24-0423289339B2}"/>
                </c:ext>
              </c:extLst>
            </c:dLbl>
            <c:dLbl>
              <c:idx val="24"/>
              <c:layout>
                <c:manualLayout>
                  <c:x val="0.80249149630187566"/>
                  <c:y val="3.41844554936633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D1-4907-AA24-0423289339B2}"/>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principal'!$BB$5:$BB$29</c:f>
              <c:numCache>
                <c:formatCode>#,##0</c:formatCode>
                <c:ptCount val="25"/>
                <c:pt idx="0">
                  <c:v>100</c:v>
                </c:pt>
                <c:pt idx="1">
                  <c:v>92.660083310629844</c:v>
                </c:pt>
                <c:pt idx="2">
                  <c:v>100.32108346182575</c:v>
                </c:pt>
                <c:pt idx="3">
                  <c:v>124.42065763678137</c:v>
                </c:pt>
                <c:pt idx="4">
                  <c:v>158.6749522648</c:v>
                </c:pt>
                <c:pt idx="5">
                  <c:v>210.62746864578881</c:v>
                </c:pt>
                <c:pt idx="6">
                  <c:v>300.29874118793583</c:v>
                </c:pt>
                <c:pt idx="7">
                  <c:v>475.28153417114964</c:v>
                </c:pt>
                <c:pt idx="8">
                  <c:v>757.12463328523631</c:v>
                </c:pt>
                <c:pt idx="9">
                  <c:v>1194.0933612985234</c:v>
                </c:pt>
                <c:pt idx="10">
                  <c:v>1825.1496160378006</c:v>
                </c:pt>
                <c:pt idx="11">
                  <c:v>2708.7749400694211</c:v>
                </c:pt>
                <c:pt idx="12">
                  <c:v>3862.1691866233855</c:v>
                </c:pt>
                <c:pt idx="13">
                  <c:v>5378.3159131916264</c:v>
                </c:pt>
                <c:pt idx="14">
                  <c:v>7230.7195926645572</c:v>
                </c:pt>
                <c:pt idx="15">
                  <c:v>9590.6365557186346</c:v>
                </c:pt>
                <c:pt idx="16">
                  <c:v>2460.1022854654038</c:v>
                </c:pt>
                <c:pt idx="17">
                  <c:v>3052.4382048365969</c:v>
                </c:pt>
                <c:pt idx="18">
                  <c:v>3909.0644346215081</c:v>
                </c:pt>
                <c:pt idx="19">
                  <c:v>4537.2431951693252</c:v>
                </c:pt>
                <c:pt idx="20">
                  <c:v>3398.9403589717499</c:v>
                </c:pt>
                <c:pt idx="21">
                  <c:v>2627.3572856939195</c:v>
                </c:pt>
                <c:pt idx="22">
                  <c:v>2328.2397431380459</c:v>
                </c:pt>
                <c:pt idx="23">
                  <c:v>0</c:v>
                </c:pt>
                <c:pt idx="24">
                  <c:v>0</c:v>
                </c:pt>
              </c:numCache>
            </c:numRef>
          </c:val>
          <c:smooth val="0"/>
          <c:extLst>
            <c:ext xmlns:c16="http://schemas.microsoft.com/office/drawing/2014/chart" uri="{C3380CC4-5D6E-409C-BE32-E72D297353CC}">
              <c16:uniqueId val="{0000001E-F0D1-4907-AA24-0423289339B2}"/>
            </c:ext>
          </c:extLst>
        </c:ser>
        <c:ser>
          <c:idx val="7"/>
          <c:order val="7"/>
          <c:tx>
            <c:v>Arrivées de varroas (immigration)</c:v>
          </c:tx>
          <c:spPr>
            <a:ln>
              <a:noFill/>
              <a:prstDash val="sysDot"/>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principal'!$DM$5:$DM$29</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F0D1-4907-AA24-0423289339B2}"/>
            </c:ext>
          </c:extLst>
        </c:ser>
        <c:dLbls>
          <c:showLegendKey val="0"/>
          <c:showVal val="0"/>
          <c:showCatName val="0"/>
          <c:showSerName val="0"/>
          <c:showPercent val="0"/>
          <c:showBubbleSize val="0"/>
        </c:dLbls>
        <c:marker val="1"/>
        <c:smooth val="0"/>
        <c:axId val="416628096"/>
        <c:axId val="416629888"/>
      </c:lineChart>
      <c:lineChart>
        <c:grouping val="standard"/>
        <c:varyColors val="0"/>
        <c:ser>
          <c:idx val="0"/>
          <c:order val="4"/>
          <c:tx>
            <c:v>Comptage par lavage à l’alcool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principal'!$BE$5:$BE$29</c:f>
              <c:numCache>
                <c:formatCode>0</c:formatCode>
                <c:ptCount val="25"/>
                <c:pt idx="0">
                  <c:v>1.96875</c:v>
                </c:pt>
                <c:pt idx="1">
                  <c:v>1.1011521708318264</c:v>
                </c:pt>
                <c:pt idx="2">
                  <c:v>1.1545713362615053</c:v>
                </c:pt>
                <c:pt idx="3">
                  <c:v>1.4063098328231911</c:v>
                </c:pt>
                <c:pt idx="4">
                  <c:v>1.6807740031481844</c:v>
                </c:pt>
                <c:pt idx="5">
                  <c:v>1.9306319695748368</c:v>
                </c:pt>
                <c:pt idx="6">
                  <c:v>2.1188047519507256</c:v>
                </c:pt>
                <c:pt idx="7">
                  <c:v>2.0159762222785864</c:v>
                </c:pt>
                <c:pt idx="8">
                  <c:v>2.6979622282267659</c:v>
                </c:pt>
                <c:pt idx="9">
                  <c:v>3.7530574363797853</c:v>
                </c:pt>
                <c:pt idx="10">
                  <c:v>5.0083106970590272</c:v>
                </c:pt>
                <c:pt idx="11">
                  <c:v>7.1712816880920052</c:v>
                </c:pt>
                <c:pt idx="12">
                  <c:v>10.043952528939812</c:v>
                </c:pt>
                <c:pt idx="13">
                  <c:v>14.514571022237503</c:v>
                </c:pt>
                <c:pt idx="14">
                  <c:v>20.151157046094426</c:v>
                </c:pt>
                <c:pt idx="15">
                  <c:v>30.283070149631577</c:v>
                </c:pt>
                <c:pt idx="16">
                  <c:v>8.9596445867041368</c:v>
                </c:pt>
                <c:pt idx="17">
                  <c:v>11.907250671366304</c:v>
                </c:pt>
                <c:pt idx="18">
                  <c:v>19.648780898481384</c:v>
                </c:pt>
                <c:pt idx="19">
                  <c:v>34.768917562042915</c:v>
                </c:pt>
                <c:pt idx="20">
                  <c:v>36.354126485599984</c:v>
                </c:pt>
                <c:pt idx="21">
                  <c:v>31.522660283108419</c:v>
                </c:pt>
                <c:pt idx="22">
                  <c:v>29.212891690707526</c:v>
                </c:pt>
                <c:pt idx="23">
                  <c:v>0</c:v>
                </c:pt>
                <c:pt idx="24">
                  <c:v>0</c:v>
                </c:pt>
              </c:numCache>
            </c:numRef>
          </c:val>
          <c:smooth val="0"/>
          <c:extLst>
            <c:ext xmlns:c16="http://schemas.microsoft.com/office/drawing/2014/chart" uri="{C3380CC4-5D6E-409C-BE32-E72D297353CC}">
              <c16:uniqueId val="{00000020-F0D1-4907-AA24-0423289339B2}"/>
            </c:ext>
          </c:extLst>
        </c:ser>
        <c:ser>
          <c:idx val="4"/>
          <c:order val="5"/>
          <c:tx>
            <c:v>Comptage moyen par lavage aux États-Unis</c:v>
          </c:tx>
          <c:spPr>
            <a:ln w="25400">
              <a:noFill/>
              <a:prstDash val="dash"/>
            </a:ln>
          </c:spPr>
          <c:marker>
            <c:symbol val="none"/>
          </c:marker>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principal'!$ET$5:$ET$28</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F0D1-4907-AA24-0423289339B2}"/>
            </c:ext>
          </c:extLst>
        </c:ser>
        <c:ser>
          <c:idx val="5"/>
          <c:order val="6"/>
          <c:tx>
            <c:v>Traitement et efficacité</c:v>
          </c:tx>
          <c:spPr>
            <a:ln>
              <a:noFill/>
            </a:ln>
          </c:spPr>
          <c:marker>
            <c:symbol val="triangle"/>
            <c:size val="16"/>
            <c:spPr>
              <a:solidFill>
                <a:schemeClr val="tx1"/>
              </a:solidFill>
              <a:ln>
                <a:noFill/>
              </a:ln>
            </c:spPr>
          </c:marker>
          <c:dPt>
            <c:idx val="24"/>
            <c:marker>
              <c:symbol val="none"/>
            </c:marker>
            <c:bubble3D val="0"/>
            <c:extLst>
              <c:ext xmlns:c16="http://schemas.microsoft.com/office/drawing/2014/chart" uri="{C3380CC4-5D6E-409C-BE32-E72D297353CC}">
                <c16:uniqueId val="{00000022-F0D1-4907-AA24-0423289339B2}"/>
              </c:ext>
            </c:extLst>
          </c:dPt>
          <c:dLbls>
            <c:dLbl>
              <c:idx val="24"/>
              <c:delete val="1"/>
              <c:extLst>
                <c:ext xmlns:c15="http://schemas.microsoft.com/office/drawing/2012/chart" uri="{CE6537A1-D6FC-4f65-9D91-7224C49458BB}"/>
                <c:ext xmlns:c16="http://schemas.microsoft.com/office/drawing/2014/chart" uri="{C3380CC4-5D6E-409C-BE32-E72D297353CC}">
                  <c16:uniqueId val="{00000022-F0D1-4907-AA24-0423289339B2}"/>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principal'!$AZ$5:$AZ$29</c:f>
              <c:numCache>
                <c:formatCode>General</c:formatCode>
                <c:ptCount val="25"/>
              </c:numCache>
            </c:numRef>
          </c:val>
          <c:smooth val="0"/>
          <c:extLst>
            <c:ext xmlns:c16="http://schemas.microsoft.com/office/drawing/2014/chart" uri="{C3380CC4-5D6E-409C-BE32-E72D297353CC}">
              <c16:uniqueId val="{00000023-F0D1-4907-AA24-0423289339B2}"/>
            </c:ext>
          </c:extLst>
        </c:ser>
        <c:ser>
          <c:idx val="8"/>
          <c:order val="8"/>
          <c:tx>
            <c:v>Taux logarithmique quotidien r</c:v>
          </c:tx>
          <c:cat>
            <c:numRef>
              <c:f>'Modèle principal'!$BP$5:$BP$29</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'Modèle principal'!$AX$25</c:f>
              <c:numCache>
                <c:formatCode>0.000</c:formatCode>
                <c:ptCount val="1"/>
                <c:pt idx="0">
                  <c:v>1.2155481239808332E-2</c:v>
                </c:pt>
              </c:numCache>
            </c:numRef>
          </c:val>
          <c:smooth val="0"/>
          <c:extLst>
            <c:ext xmlns:c16="http://schemas.microsoft.com/office/drawing/2014/chart" uri="{C3380CC4-5D6E-409C-BE32-E72D297353CC}">
              <c16:uniqueId val="{00000024-F0D1-4907-AA24-0423289339B2}"/>
            </c:ext>
          </c:extLst>
        </c:ser>
        <c:dLbls>
          <c:showLegendKey val="0"/>
          <c:showVal val="0"/>
          <c:showCatName val="0"/>
          <c:showSerName val="0"/>
          <c:showPercent val="0"/>
          <c:showBubbleSize val="0"/>
        </c:dLbls>
        <c:marker val="1"/>
        <c:smooth val="0"/>
        <c:axId val="416654464"/>
        <c:axId val="416631808"/>
      </c:lineChart>
      <c:dateAx>
        <c:axId val="416628096"/>
        <c:scaling>
          <c:orientation val="minMax"/>
        </c:scaling>
        <c:delete val="0"/>
        <c:axPos val="b"/>
        <c:numFmt formatCode="[$-40C]d\-mmm;@" sourceLinked="1"/>
        <c:majorTickMark val="out"/>
        <c:minorTickMark val="none"/>
        <c:tickLblPos val="nextTo"/>
        <c:crossAx val="416629888"/>
        <c:crosses val="autoZero"/>
        <c:auto val="1"/>
        <c:lblOffset val="100"/>
        <c:baseTimeUnit val="days"/>
        <c:majorUnit val="1"/>
        <c:majorTimeUnit val="months"/>
        <c:minorUnit val="1"/>
        <c:minorTimeUnit val="months"/>
      </c:dateAx>
      <c:valAx>
        <c:axId val="416629888"/>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1.3312274624607689E-2"/>
              <c:y val="2.1617088089280985E-2"/>
            </c:manualLayout>
          </c:layout>
          <c:overlay val="0"/>
        </c:title>
        <c:numFmt formatCode="#,##0" sourceLinked="0"/>
        <c:majorTickMark val="out"/>
        <c:minorTickMark val="none"/>
        <c:tickLblPos val="nextTo"/>
        <c:txPr>
          <a:bodyPr/>
          <a:lstStyle/>
          <a:p>
            <a:pPr>
              <a:defRPr sz="800" lang="fr-FR"/>
            </a:pPr>
            <a:endParaRPr lang="fr-FR"/>
          </a:p>
        </c:txPr>
        <c:crossAx val="416628096"/>
        <c:crossesAt val="40544"/>
        <c:crossBetween val="midCat"/>
      </c:valAx>
      <c:valAx>
        <c:axId val="416631808"/>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945366880602422"/>
              <c:y val="0.1681017235782178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416654464"/>
        <c:crosses val="max"/>
        <c:crossBetween val="between"/>
      </c:valAx>
      <c:dateAx>
        <c:axId val="416654464"/>
        <c:scaling>
          <c:orientation val="minMax"/>
        </c:scaling>
        <c:delete val="1"/>
        <c:axPos val="b"/>
        <c:numFmt formatCode="[$-40C]d\-mmm;@" sourceLinked="1"/>
        <c:majorTickMark val="out"/>
        <c:minorTickMark val="none"/>
        <c:tickLblPos val="none"/>
        <c:crossAx val="416631808"/>
        <c:crosses val="autoZero"/>
        <c:auto val="1"/>
        <c:lblOffset val="100"/>
        <c:baseTimeUnit val="days"/>
        <c:majorUnit val="1"/>
        <c:minorUnit val="1"/>
      </c:dateAx>
      <c:spPr>
        <a:noFill/>
        <a:ln w="25400">
          <a:noFill/>
        </a:ln>
      </c:spPr>
    </c:plotArea>
    <c:legend>
      <c:legendPos val="r"/>
      <c:legendEntry>
        <c:idx val="3"/>
        <c:delete val="1"/>
      </c:legendEntry>
      <c:legendEntry>
        <c:idx val="4"/>
        <c:delete val="1"/>
      </c:legendEntry>
      <c:legendEntry>
        <c:idx val="6"/>
        <c:delete val="1"/>
      </c:legendEntry>
      <c:legendEntry>
        <c:idx val="8"/>
        <c:delete val="1"/>
      </c:legendEntry>
      <c:legendEntry>
        <c:idx val="10"/>
        <c:delete val="1"/>
      </c:legendEntry>
      <c:layout>
        <c:manualLayout>
          <c:xMode val="edge"/>
          <c:yMode val="edge"/>
          <c:x val="0.11786102598671905"/>
          <c:y val="5.0022794769701416E-2"/>
          <c:w val="0.2484079129035453"/>
          <c:h val="0.40231866866628846"/>
        </c:manualLayout>
      </c:layout>
      <c:overlay val="0"/>
      <c:spPr>
        <a:solidFill>
          <a:schemeClr val="bg1"/>
        </a:solidFill>
        <a:ln>
          <a:solidFill>
            <a:schemeClr val="tx1"/>
          </a:solidFill>
        </a:ln>
      </c:spPr>
    </c:legend>
    <c:plotVisOnly val="1"/>
    <c:dispBlanksAs val="span"/>
    <c:showDLblsOverMax val="0"/>
  </c:chart>
  <c:spPr>
    <a:solidFill>
      <a:schemeClr val="bg1"/>
    </a:solidFill>
  </c:spPr>
  <c:printSettings>
    <c:headerFooter/>
    <c:pageMargins b="0.75000000000000011" l="0.70000000000000007" r="0.70000000000000007" t="0.75000000000000011" header="0.30000000000000004" footer="0.30000000000000004"/>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fr-FR"/>
            </a:pPr>
            <a:r>
              <a:rPr lang="fr-FR"/>
              <a:t xml:space="preserve">Augmentation des varroas selon le nombre initial (taux logarithmique quotidien r = 0,021)</a:t>
            </a:r>
            <a:endParaRPr lang="fr-FR" sz="1600" b="0"/>
          </a:p>
        </c:rich>
      </c:tx>
      <c:layout>
        <c:manualLayout>
          <c:xMode val="edge"/>
          <c:yMode val="edge"/>
          <c:x val="0.21790706738146315"/>
          <c:y val="0"/>
        </c:manualLayout>
      </c:layout>
      <c:overlay val="0"/>
    </c:title>
    <c:autoTitleDeleted val="0"/>
    <c:plotArea>
      <c:layout>
        <c:manualLayout>
          <c:layoutTarget val="inner"/>
          <c:xMode val="edge"/>
          <c:yMode val="edge"/>
          <c:x val="0.16841020494215417"/>
          <c:y val="9.8857211506771236E-2"/>
          <c:w val="0.57584383542602979"/>
          <c:h val="0.73076771653543315"/>
        </c:manualLayout>
      </c:layout>
      <c:lineChart>
        <c:grouping val="standard"/>
        <c:varyColors val="0"/>
        <c:ser>
          <c:idx val="4"/>
          <c:order val="0"/>
          <c:tx>
            <c:strRef>
              <c:f>'Population initiale'!$H$3</c:f>
              <c:strCache>
                <c:ptCount val="1"/>
                <c:pt idx="0">
                  <c:v>150 varroas</c:v>
                </c:pt>
              </c:strCache>
            </c:strRef>
          </c:tx>
          <c:spPr>
            <a:ln w="50800">
              <a:solidFill>
                <a:srgbClr val="E60000"/>
              </a:solidFill>
            </a:ln>
          </c:spPr>
          <c:marker>
            <c:symbol val="none"/>
          </c:marker>
          <c:cat>
            <c:numRef>
              <c:f>'Population initiale'!$B$4:$B$11</c:f>
              <c:numCache>
                <c:formatCode>General</c:formatCode>
                <c:ptCount val="8"/>
                <c:pt idx="0">
                  <c:v>0</c:v>
                </c:pt>
                <c:pt idx="1">
                  <c:v>1</c:v>
                </c:pt>
                <c:pt idx="2">
                  <c:v>2</c:v>
                </c:pt>
                <c:pt idx="3">
                  <c:v>3</c:v>
                </c:pt>
                <c:pt idx="4">
                  <c:v>4</c:v>
                </c:pt>
                <c:pt idx="5">
                  <c:v>5</c:v>
                </c:pt>
                <c:pt idx="6">
                  <c:v>6</c:v>
                </c:pt>
                <c:pt idx="7">
                  <c:v>7</c:v>
                </c:pt>
              </c:numCache>
            </c:numRef>
          </c:cat>
          <c:val>
            <c:numRef>
              <c:f>'Population initiale'!$H$4:$H$11</c:f>
              <c:numCache>
                <c:formatCode>0</c:formatCode>
                <c:ptCount val="8"/>
                <c:pt idx="0" formatCode="General">
                  <c:v>150</c:v>
                </c:pt>
                <c:pt idx="1">
                  <c:v>281.64158688965148</c:v>
                </c:pt>
                <c:pt idx="2">
                  <c:v>528.81322310480732</c:v>
                </c:pt>
                <c:pt idx="3">
                  <c:v>992.90530215646163</c:v>
                </c:pt>
                <c:pt idx="4">
                  <c:v>1864.2894995366316</c:v>
                </c:pt>
                <c:pt idx="5">
                  <c:v>3500.4096871414072</c:v>
                </c:pt>
                <c:pt idx="6">
                  <c:v>6572.4062603360953</c:v>
                </c:pt>
                <c:pt idx="7">
                  <c:v>12340.419525630252</c:v>
                </c:pt>
              </c:numCache>
            </c:numRef>
          </c:val>
          <c:smooth val="1"/>
          <c:extLst>
            <c:ext xmlns:c16="http://schemas.microsoft.com/office/drawing/2014/chart" uri="{C3380CC4-5D6E-409C-BE32-E72D297353CC}">
              <c16:uniqueId val="{00000000-CF0F-4070-903B-17972CC1393C}"/>
            </c:ext>
          </c:extLst>
        </c:ser>
        <c:ser>
          <c:idx val="3"/>
          <c:order val="1"/>
          <c:tx>
            <c:strRef>
              <c:f>'Population initiale'!$G$3</c:f>
              <c:strCache>
                <c:ptCount val="1"/>
                <c:pt idx="0">
                  <c:v>100 varroas</c:v>
                </c:pt>
              </c:strCache>
            </c:strRef>
          </c:tx>
          <c:spPr>
            <a:ln w="47625">
              <a:solidFill>
                <a:srgbClr val="FF4747"/>
              </a:solidFill>
            </a:ln>
          </c:spPr>
          <c:marker>
            <c:symbol val="none"/>
          </c:marker>
          <c:cat>
            <c:numRef>
              <c:f>'Population initiale'!$B$4:$B$11</c:f>
              <c:numCache>
                <c:formatCode>General</c:formatCode>
                <c:ptCount val="8"/>
                <c:pt idx="0">
                  <c:v>0</c:v>
                </c:pt>
                <c:pt idx="1">
                  <c:v>1</c:v>
                </c:pt>
                <c:pt idx="2">
                  <c:v>2</c:v>
                </c:pt>
                <c:pt idx="3">
                  <c:v>3</c:v>
                </c:pt>
                <c:pt idx="4">
                  <c:v>4</c:v>
                </c:pt>
                <c:pt idx="5">
                  <c:v>5</c:v>
                </c:pt>
                <c:pt idx="6">
                  <c:v>6</c:v>
                </c:pt>
                <c:pt idx="7">
                  <c:v>7</c:v>
                </c:pt>
              </c:numCache>
            </c:numRef>
          </c:cat>
          <c:val>
            <c:numRef>
              <c:f>'Population initiale'!$G$4:$G$11</c:f>
              <c:numCache>
                <c:formatCode>0</c:formatCode>
                <c:ptCount val="8"/>
                <c:pt idx="0" formatCode="General">
                  <c:v>100</c:v>
                </c:pt>
                <c:pt idx="1">
                  <c:v>187.76105792643432</c:v>
                </c:pt>
                <c:pt idx="2">
                  <c:v>352.54214873653825</c:v>
                </c:pt>
                <c:pt idx="3">
                  <c:v>661.93686810430779</c:v>
                </c:pt>
                <c:pt idx="4">
                  <c:v>1242.8596663577546</c:v>
                </c:pt>
                <c:pt idx="5">
                  <c:v>2333.6064580942721</c:v>
                </c:pt>
                <c:pt idx="6">
                  <c:v>4381.6041735573981</c:v>
                </c:pt>
                <c:pt idx="7">
                  <c:v>8226.9463504201703</c:v>
                </c:pt>
              </c:numCache>
            </c:numRef>
          </c:val>
          <c:smooth val="1"/>
          <c:extLst>
            <c:ext xmlns:c16="http://schemas.microsoft.com/office/drawing/2014/chart" uri="{C3380CC4-5D6E-409C-BE32-E72D297353CC}">
              <c16:uniqueId val="{00000001-CF0F-4070-903B-17972CC1393C}"/>
            </c:ext>
          </c:extLst>
        </c:ser>
        <c:ser>
          <c:idx val="2"/>
          <c:order val="2"/>
          <c:tx>
            <c:strRef>
              <c:f>'Population initiale'!$F$3</c:f>
              <c:strCache>
                <c:ptCount val="1"/>
                <c:pt idx="0">
                  <c:v>50 varroas</c:v>
                </c:pt>
              </c:strCache>
            </c:strRef>
          </c:tx>
          <c:spPr>
            <a:ln w="44450">
              <a:solidFill>
                <a:srgbClr val="FF7979"/>
              </a:solidFill>
            </a:ln>
          </c:spPr>
          <c:marker>
            <c:symbol val="none"/>
          </c:marker>
          <c:cat>
            <c:numRef>
              <c:f>'Population initiale'!$B$4:$B$11</c:f>
              <c:numCache>
                <c:formatCode>General</c:formatCode>
                <c:ptCount val="8"/>
                <c:pt idx="0">
                  <c:v>0</c:v>
                </c:pt>
                <c:pt idx="1">
                  <c:v>1</c:v>
                </c:pt>
                <c:pt idx="2">
                  <c:v>2</c:v>
                </c:pt>
                <c:pt idx="3">
                  <c:v>3</c:v>
                </c:pt>
                <c:pt idx="4">
                  <c:v>4</c:v>
                </c:pt>
                <c:pt idx="5">
                  <c:v>5</c:v>
                </c:pt>
                <c:pt idx="6">
                  <c:v>6</c:v>
                </c:pt>
                <c:pt idx="7">
                  <c:v>7</c:v>
                </c:pt>
              </c:numCache>
            </c:numRef>
          </c:cat>
          <c:val>
            <c:numRef>
              <c:f>'Population initiale'!$F$4:$F$11</c:f>
              <c:numCache>
                <c:formatCode>0</c:formatCode>
                <c:ptCount val="8"/>
                <c:pt idx="0" formatCode="General">
                  <c:v>50</c:v>
                </c:pt>
                <c:pt idx="1">
                  <c:v>93.880528963217159</c:v>
                </c:pt>
                <c:pt idx="2">
                  <c:v>176.27107436826913</c:v>
                </c:pt>
                <c:pt idx="3">
                  <c:v>330.9684340521539</c:v>
                </c:pt>
                <c:pt idx="4">
                  <c:v>621.42983317887729</c:v>
                </c:pt>
                <c:pt idx="5">
                  <c:v>1166.803229047136</c:v>
                </c:pt>
                <c:pt idx="6">
                  <c:v>2190.802086778699</c:v>
                </c:pt>
                <c:pt idx="7">
                  <c:v>4113.4731752100852</c:v>
                </c:pt>
              </c:numCache>
            </c:numRef>
          </c:val>
          <c:smooth val="1"/>
          <c:extLst>
            <c:ext xmlns:c16="http://schemas.microsoft.com/office/drawing/2014/chart" uri="{C3380CC4-5D6E-409C-BE32-E72D297353CC}">
              <c16:uniqueId val="{00000002-CF0F-4070-903B-17972CC1393C}"/>
            </c:ext>
          </c:extLst>
        </c:ser>
        <c:ser>
          <c:idx val="1"/>
          <c:order val="3"/>
          <c:tx>
            <c:strRef>
              <c:f>'Population initiale'!$E$3</c:f>
              <c:strCache>
                <c:ptCount val="1"/>
                <c:pt idx="0">
                  <c:v>25 varroas</c:v>
                </c:pt>
              </c:strCache>
            </c:strRef>
          </c:tx>
          <c:spPr>
            <a:ln w="41275">
              <a:solidFill>
                <a:srgbClr val="FFA3A3"/>
              </a:solidFill>
            </a:ln>
          </c:spPr>
          <c:marker>
            <c:symbol val="none"/>
          </c:marker>
          <c:cat>
            <c:numRef>
              <c:f>'Population initiale'!$B$4:$B$11</c:f>
              <c:numCache>
                <c:formatCode>General</c:formatCode>
                <c:ptCount val="8"/>
                <c:pt idx="0">
                  <c:v>0</c:v>
                </c:pt>
                <c:pt idx="1">
                  <c:v>1</c:v>
                </c:pt>
                <c:pt idx="2">
                  <c:v>2</c:v>
                </c:pt>
                <c:pt idx="3">
                  <c:v>3</c:v>
                </c:pt>
                <c:pt idx="4">
                  <c:v>4</c:v>
                </c:pt>
                <c:pt idx="5">
                  <c:v>5</c:v>
                </c:pt>
                <c:pt idx="6">
                  <c:v>6</c:v>
                </c:pt>
                <c:pt idx="7">
                  <c:v>7</c:v>
                </c:pt>
              </c:numCache>
            </c:numRef>
          </c:cat>
          <c:val>
            <c:numRef>
              <c:f>'Population initiale'!$E$4:$E$11</c:f>
              <c:numCache>
                <c:formatCode>0</c:formatCode>
                <c:ptCount val="8"/>
                <c:pt idx="0" formatCode="General">
                  <c:v>25</c:v>
                </c:pt>
                <c:pt idx="1">
                  <c:v>46.94026448160858</c:v>
                </c:pt>
                <c:pt idx="2">
                  <c:v>88.135537184134563</c:v>
                </c:pt>
                <c:pt idx="3">
                  <c:v>165.48421702607695</c:v>
                </c:pt>
                <c:pt idx="4">
                  <c:v>310.71491658943864</c:v>
                </c:pt>
                <c:pt idx="5">
                  <c:v>583.40161452356801</c:v>
                </c:pt>
                <c:pt idx="6">
                  <c:v>1095.4010433893495</c:v>
                </c:pt>
                <c:pt idx="7">
                  <c:v>2056.7365876050426</c:v>
                </c:pt>
              </c:numCache>
            </c:numRef>
          </c:val>
          <c:smooth val="1"/>
          <c:extLst>
            <c:ext xmlns:c16="http://schemas.microsoft.com/office/drawing/2014/chart" uri="{C3380CC4-5D6E-409C-BE32-E72D297353CC}">
              <c16:uniqueId val="{00000003-CF0F-4070-903B-17972CC1393C}"/>
            </c:ext>
          </c:extLst>
        </c:ser>
        <c:ser>
          <c:idx val="0"/>
          <c:order val="4"/>
          <c:tx>
            <c:strRef>
              <c:f>'Population initiale'!$D$3</c:f>
              <c:strCache>
                <c:ptCount val="1"/>
                <c:pt idx="0">
                  <c:v>10 varroas</c:v>
                </c:pt>
              </c:strCache>
            </c:strRef>
          </c:tx>
          <c:spPr>
            <a:ln w="38100">
              <a:solidFill>
                <a:srgbClr val="FFC1C1"/>
              </a:solidFill>
            </a:ln>
          </c:spPr>
          <c:marker>
            <c:symbol val="none"/>
          </c:marker>
          <c:cat>
            <c:numRef>
              <c:f>'Population initiale'!$B$4:$B$11</c:f>
              <c:numCache>
                <c:formatCode>General</c:formatCode>
                <c:ptCount val="8"/>
                <c:pt idx="0">
                  <c:v>0</c:v>
                </c:pt>
                <c:pt idx="1">
                  <c:v>1</c:v>
                </c:pt>
                <c:pt idx="2">
                  <c:v>2</c:v>
                </c:pt>
                <c:pt idx="3">
                  <c:v>3</c:v>
                </c:pt>
                <c:pt idx="4">
                  <c:v>4</c:v>
                </c:pt>
                <c:pt idx="5">
                  <c:v>5</c:v>
                </c:pt>
                <c:pt idx="6">
                  <c:v>6</c:v>
                </c:pt>
                <c:pt idx="7">
                  <c:v>7</c:v>
                </c:pt>
              </c:numCache>
            </c:numRef>
          </c:cat>
          <c:val>
            <c:numRef>
              <c:f>'Population initiale'!$D$4:$D$11</c:f>
              <c:numCache>
                <c:formatCode>0</c:formatCode>
                <c:ptCount val="8"/>
                <c:pt idx="0" formatCode="General">
                  <c:v>10</c:v>
                </c:pt>
                <c:pt idx="1">
                  <c:v>18.776105792643431</c:v>
                </c:pt>
                <c:pt idx="2">
                  <c:v>35.254214873653822</c:v>
                </c:pt>
                <c:pt idx="3">
                  <c:v>66.193686810430776</c:v>
                </c:pt>
                <c:pt idx="4">
                  <c:v>124.28596663577544</c:v>
                </c:pt>
                <c:pt idx="5">
                  <c:v>233.36064580942715</c:v>
                </c:pt>
                <c:pt idx="6">
                  <c:v>438.16041735573975</c:v>
                </c:pt>
                <c:pt idx="7">
                  <c:v>822.6946350420169</c:v>
                </c:pt>
              </c:numCache>
            </c:numRef>
          </c:val>
          <c:smooth val="1"/>
          <c:extLst>
            <c:ext xmlns:c16="http://schemas.microsoft.com/office/drawing/2014/chart" uri="{C3380CC4-5D6E-409C-BE32-E72D297353CC}">
              <c16:uniqueId val="{00000004-CF0F-4070-903B-17972CC1393C}"/>
            </c:ext>
          </c:extLst>
        </c:ser>
        <c:dLbls>
          <c:showLegendKey val="0"/>
          <c:showVal val="0"/>
          <c:showCatName val="0"/>
          <c:showSerName val="0"/>
          <c:showPercent val="0"/>
          <c:showBubbleSize val="0"/>
        </c:dLbls>
        <c:smooth val="0"/>
        <c:axId val="417542912"/>
        <c:axId val="417544832"/>
      </c:lineChart>
      <c:catAx>
        <c:axId val="417542912"/>
        <c:scaling>
          <c:orientation val="minMax"/>
        </c:scaling>
        <c:delete val="0"/>
        <c:axPos val="b"/>
        <c:title>
          <c:tx>
            <c:rich>
              <a:bodyPr/>
              <a:lstStyle/>
              <a:p>
                <a:pPr>
                  <a:defRPr lang="fr-FR"/>
                </a:pPr>
                <a:r>
                  <a:rPr lang="fr-FR" sz="1400"/>
                  <a:t xml:space="preserve">Mois</a:t>
                </a:r>
              </a:p>
            </c:rich>
          </c:tx>
          <c:overlay val="0"/>
        </c:title>
        <c:numFmt formatCode="General" sourceLinked="1"/>
        <c:majorTickMark val="out"/>
        <c:minorTickMark val="none"/>
        <c:tickLblPos val="nextTo"/>
        <c:txPr>
          <a:bodyPr/>
          <a:lstStyle/>
          <a:p>
            <a:pPr>
              <a:defRPr sz="1400" lang="fr-FR"/>
            </a:pPr>
            <a:endParaRPr lang="fr-FR"/>
          </a:p>
        </c:txPr>
        <c:crossAx val="417544832"/>
        <c:crosses val="autoZero"/>
        <c:auto val="1"/>
        <c:lblAlgn val="ctr"/>
        <c:lblOffset val="100"/>
        <c:noMultiLvlLbl val="0"/>
      </c:catAx>
      <c:valAx>
        <c:axId val="417544832"/>
        <c:scaling>
          <c:orientation val="minMax"/>
          <c:max val="12000"/>
        </c:scaling>
        <c:delete val="0"/>
        <c:axPos val="l"/>
        <c:majorGridlines/>
        <c:title>
          <c:tx>
            <c:rich>
              <a:bodyPr rot="-5400000" vert="horz"/>
              <a:lstStyle/>
              <a:p>
                <a:pPr>
                  <a:defRPr lang="fr-FR"/>
                </a:pPr>
                <a:r>
                  <a:rPr lang="fr-FR" sz="1400"/>
                  <a:t xml:space="preserve">Population de varroas</a:t>
                </a:r>
              </a:p>
            </c:rich>
          </c:tx>
          <c:overlay val="0"/>
        </c:title>
        <c:numFmt formatCode="#,##0" sourceLinked="0"/>
        <c:majorTickMark val="out"/>
        <c:minorTickMark val="none"/>
        <c:tickLblPos val="nextTo"/>
        <c:txPr>
          <a:bodyPr/>
          <a:lstStyle/>
          <a:p>
            <a:pPr>
              <a:defRPr sz="1400" lang="fr-FR"/>
            </a:pPr>
            <a:endParaRPr lang="fr-FR"/>
          </a:p>
        </c:txPr>
        <c:crossAx val="417542912"/>
        <c:crosses val="autoZero"/>
        <c:crossBetween val="midCat"/>
      </c:valAx>
    </c:plotArea>
    <c:legend>
      <c:legendPos val="r"/>
      <c:layout>
        <c:manualLayout>
          <c:xMode val="edge"/>
          <c:yMode val="edge"/>
          <c:x val="0.78613866024813261"/>
          <c:y val="0.32651999693810513"/>
          <c:w val="0.18600389467745587"/>
          <c:h val="0.38681806390429901"/>
        </c:manualLayout>
      </c:layout>
      <c:overlay val="0"/>
      <c:txPr>
        <a:bodyPr/>
        <a:lstStyle/>
        <a:p>
          <a:pPr>
            <a:defRPr sz="1400" lang="fr-FR"/>
          </a:pPr>
          <a:endParaRPr lang="fr-FR"/>
        </a:p>
      </c:txPr>
    </c:legend>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98728223853254E-2"/>
          <c:y val="3.2299938581372249E-2"/>
          <c:w val="0.82397205929615935"/>
          <c:h val="0.89014335685699442"/>
        </c:manualLayout>
      </c:layout>
      <c:areaChart>
        <c:grouping val="standard"/>
        <c:varyColors val="0"/>
        <c:ser>
          <c:idx val="1"/>
          <c:order val="0"/>
          <c:tx>
            <c:v>Population d’abeilles adultes</c:v>
          </c:tx>
          <c:spPr>
            <a:solidFill>
              <a:srgbClr val="FFE593"/>
            </a:solidFill>
            <a:ln>
              <a:solidFill>
                <a:srgbClr val="FFC000"/>
              </a:solidFill>
            </a:ln>
          </c:spP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couvain'!$BR$4:$BR$28</c:f>
              <c:numCache>
                <c:formatCode>General</c:formatCode>
                <c:ptCount val="25"/>
                <c:pt idx="0">
                  <c:v>16000</c:v>
                </c:pt>
                <c:pt idx="1">
                  <c:v>16000</c:v>
                </c:pt>
                <c:pt idx="2">
                  <c:v>16000</c:v>
                </c:pt>
                <c:pt idx="3">
                  <c:v>16000</c:v>
                </c:pt>
                <c:pt idx="4">
                  <c:v>14000</c:v>
                </c:pt>
                <c:pt idx="5">
                  <c:v>12000</c:v>
                </c:pt>
                <c:pt idx="6">
                  <c:v>12000</c:v>
                </c:pt>
                <c:pt idx="7">
                  <c:v>12000</c:v>
                </c:pt>
                <c:pt idx="8">
                  <c:v>20000</c:v>
                </c:pt>
                <c:pt idx="9">
                  <c:v>28000</c:v>
                </c:pt>
                <c:pt idx="10">
                  <c:v>40000</c:v>
                </c:pt>
                <c:pt idx="11">
                  <c:v>48000</c:v>
                </c:pt>
                <c:pt idx="12">
                  <c:v>52000</c:v>
                </c:pt>
                <c:pt idx="13">
                  <c:v>52000</c:v>
                </c:pt>
                <c:pt idx="14">
                  <c:v>50000</c:v>
                </c:pt>
                <c:pt idx="15">
                  <c:v>40000</c:v>
                </c:pt>
                <c:pt idx="16">
                  <c:v>28000</c:v>
                </c:pt>
                <c:pt idx="17">
                  <c:v>24000</c:v>
                </c:pt>
                <c:pt idx="18">
                  <c:v>20000</c:v>
                </c:pt>
                <c:pt idx="19">
                  <c:v>18000</c:v>
                </c:pt>
                <c:pt idx="20">
                  <c:v>16000</c:v>
                </c:pt>
                <c:pt idx="21">
                  <c:v>16000</c:v>
                </c:pt>
                <c:pt idx="22">
                  <c:v>16000</c:v>
                </c:pt>
                <c:pt idx="23">
                  <c:v>16000</c:v>
                </c:pt>
                <c:pt idx="24">
                  <c:v>16000</c:v>
                </c:pt>
              </c:numCache>
            </c:numRef>
          </c:val>
          <c:extLst>
            <c:ext xmlns:c16="http://schemas.microsoft.com/office/drawing/2014/chart" uri="{C3380CC4-5D6E-409C-BE32-E72D297353CC}">
              <c16:uniqueId val="{00000000-0FC1-40C1-A327-9D5DC51ED988}"/>
            </c:ext>
          </c:extLst>
        </c:ser>
        <c:ser>
          <c:idx val="2"/>
          <c:order val="2"/>
          <c:tx>
            <c:v>Nombre total de nymphes</c:v>
          </c:tx>
          <c:spPr>
            <a:solidFill>
              <a:srgbClr val="FFC000"/>
            </a:solidFill>
            <a:ln w="12700">
              <a:solidFill>
                <a:schemeClr val="accent6"/>
              </a:solidFill>
            </a:ln>
          </c:spP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couvain'!$BV$4:$BV$28</c:f>
              <c:numCache>
                <c:formatCode>General</c:formatCode>
                <c:ptCount val="25"/>
                <c:pt idx="0">
                  <c:v>116.09999999999998</c:v>
                </c:pt>
                <c:pt idx="1">
                  <c:v>0.6</c:v>
                </c:pt>
                <c:pt idx="2">
                  <c:v>0.6</c:v>
                </c:pt>
                <c:pt idx="3">
                  <c:v>116.09999999999998</c:v>
                </c:pt>
                <c:pt idx="4">
                  <c:v>0.6</c:v>
                </c:pt>
                <c:pt idx="5">
                  <c:v>1350</c:v>
                </c:pt>
                <c:pt idx="6">
                  <c:v>2700</c:v>
                </c:pt>
                <c:pt idx="7">
                  <c:v>13500</c:v>
                </c:pt>
                <c:pt idx="8">
                  <c:v>18900</c:v>
                </c:pt>
                <c:pt idx="9">
                  <c:v>18900</c:v>
                </c:pt>
                <c:pt idx="10">
                  <c:v>21600</c:v>
                </c:pt>
                <c:pt idx="11">
                  <c:v>21600</c:v>
                </c:pt>
                <c:pt idx="12">
                  <c:v>16200</c:v>
                </c:pt>
                <c:pt idx="13">
                  <c:v>13500</c:v>
                </c:pt>
                <c:pt idx="14">
                  <c:v>12150</c:v>
                </c:pt>
                <c:pt idx="15">
                  <c:v>10800</c:v>
                </c:pt>
                <c:pt idx="16">
                  <c:v>9450</c:v>
                </c:pt>
                <c:pt idx="17">
                  <c:v>8100</c:v>
                </c:pt>
                <c:pt idx="18">
                  <c:v>1350</c:v>
                </c:pt>
                <c:pt idx="19">
                  <c:v>270</c:v>
                </c:pt>
                <c:pt idx="20">
                  <c:v>0.6</c:v>
                </c:pt>
                <c:pt idx="21">
                  <c:v>0.6</c:v>
                </c:pt>
                <c:pt idx="22">
                  <c:v>0.6</c:v>
                </c:pt>
                <c:pt idx="23">
                  <c:v>0.6</c:v>
                </c:pt>
                <c:pt idx="24">
                  <c:v>0.6</c:v>
                </c:pt>
              </c:numCache>
            </c:numRef>
          </c:val>
          <c:extLst>
            <c:ext xmlns:c16="http://schemas.microsoft.com/office/drawing/2014/chart" uri="{C3380CC4-5D6E-409C-BE32-E72D297353CC}">
              <c16:uniqueId val="{00000001-0FC1-40C1-A327-9D5DC51ED988}"/>
            </c:ext>
          </c:extLst>
        </c:ser>
        <c:ser>
          <c:idx val="6"/>
          <c:order val="3"/>
          <c:tx>
            <c:v>Nymphes parasitées</c:v>
          </c:tx>
          <c:spPr>
            <a:solidFill>
              <a:srgbClr val="FF0000">
                <a:alpha val="50000"/>
              </a:srgbClr>
            </a:solidFill>
            <a:ln w="12700">
              <a:solidFill>
                <a:srgbClr val="FF0000"/>
              </a:solidFill>
              <a:prstDash val="solid"/>
            </a:ln>
          </c:spP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couvain'!$BW$4:$BW$28</c:f>
              <c:numCache>
                <c:formatCode>0</c:formatCode>
                <c:ptCount val="25"/>
                <c:pt idx="0">
                  <c:v>26.983963568487351</c:v>
                </c:pt>
                <c:pt idx="1">
                  <c:v>0</c:v>
                </c:pt>
                <c:pt idx="2">
                  <c:v>0</c:v>
                </c:pt>
                <c:pt idx="3">
                  <c:v>21.925693823501447</c:v>
                </c:pt>
                <c:pt idx="4">
                  <c:v>0</c:v>
                </c:pt>
                <c:pt idx="5">
                  <c:v>33.871596255519279</c:v>
                </c:pt>
                <c:pt idx="6">
                  <c:v>48.908963390276014</c:v>
                </c:pt>
                <c:pt idx="7">
                  <c:v>62.286583894449464</c:v>
                </c:pt>
                <c:pt idx="8">
                  <c:v>45.239181371810176</c:v>
                </c:pt>
                <c:pt idx="9">
                  <c:v>53.118740362161041</c:v>
                </c:pt>
                <c:pt idx="10">
                  <c:v>71.61162478763714</c:v>
                </c:pt>
                <c:pt idx="11">
                  <c:v>82.768869874901981</c:v>
                </c:pt>
                <c:pt idx="12">
                  <c:v>93.979340571494575</c:v>
                </c:pt>
                <c:pt idx="13">
                  <c:v>104.38859789741738</c:v>
                </c:pt>
                <c:pt idx="14">
                  <c:v>123.65705538119778</c:v>
                </c:pt>
                <c:pt idx="15">
                  <c:v>155.89603617140079</c:v>
                </c:pt>
                <c:pt idx="16">
                  <c:v>211.19042610124419</c:v>
                </c:pt>
                <c:pt idx="17">
                  <c:v>237.82276368893775</c:v>
                </c:pt>
                <c:pt idx="18">
                  <c:v>199.83622121957688</c:v>
                </c:pt>
                <c:pt idx="19">
                  <c:v>123.36227547295485</c:v>
                </c:pt>
                <c:pt idx="20">
                  <c:v>0</c:v>
                </c:pt>
                <c:pt idx="21">
                  <c:v>0</c:v>
                </c:pt>
                <c:pt idx="22">
                  <c:v>0</c:v>
                </c:pt>
                <c:pt idx="23">
                  <c:v>0</c:v>
                </c:pt>
                <c:pt idx="24">
                  <c:v>0</c:v>
                </c:pt>
              </c:numCache>
            </c:numRef>
          </c:val>
          <c:extLst>
            <c:ext xmlns:c16="http://schemas.microsoft.com/office/drawing/2014/chart" uri="{C3380CC4-5D6E-409C-BE32-E72D297353CC}">
              <c16:uniqueId val="{00000002-0FC1-40C1-A327-9D5DC51ED988}"/>
            </c:ext>
          </c:extLst>
        </c:ser>
        <c:dLbls>
          <c:showLegendKey val="0"/>
          <c:showVal val="0"/>
          <c:showCatName val="0"/>
          <c:showSerName val="0"/>
          <c:showPercent val="0"/>
          <c:showBubbleSize val="0"/>
        </c:dLbls>
        <c:axId val="415788032"/>
        <c:axId val="415814784"/>
      </c:areaChart>
      <c:areaChart>
        <c:grouping val="standard"/>
        <c:varyColors val="0"/>
        <c:ser>
          <c:idx val="9"/>
          <c:order val="9"/>
          <c:tx>
            <c:v>Effondrement</c:v>
          </c:tx>
          <c:spPr>
            <a:solidFill>
              <a:srgbClr val="FF0000"/>
            </a:solidFill>
          </c:spP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couvain'!$EB$4:$EB$28</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3-0FC1-40C1-A327-9D5DC51ED988}"/>
            </c:ext>
          </c:extLst>
        </c:ser>
        <c:ser>
          <c:idx val="10"/>
          <c:order val="10"/>
          <c:tx>
            <c:v>Effondrement hivernal</c:v>
          </c:tx>
          <c:spPr>
            <a:solidFill>
              <a:srgbClr val="FF0000"/>
            </a:solidFill>
          </c:spP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couvain'!$EB$4:$EB$28</c:f>
              <c:numCache>
                <c:formatCode>General</c:formatCode>
                <c:ptCount val="25"/>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4-0FC1-40C1-A327-9D5DC51ED988}"/>
            </c:ext>
          </c:extLst>
        </c:ser>
        <c:dLbls>
          <c:showLegendKey val="0"/>
          <c:showVal val="0"/>
          <c:showCatName val="0"/>
          <c:showSerName val="0"/>
          <c:showPercent val="0"/>
          <c:showBubbleSize val="0"/>
        </c:dLbls>
        <c:axId val="415822976"/>
        <c:axId val="415816704"/>
      </c:areaChart>
      <c:lineChart>
        <c:grouping val="standard"/>
        <c:varyColors val="0"/>
        <c:ser>
          <c:idx val="3"/>
          <c:order val="1"/>
          <c:tx>
            <c:v>Nombre total de varroas</c:v>
          </c:tx>
          <c:spPr>
            <a:ln>
              <a:solidFill>
                <a:srgbClr val="FF0000"/>
              </a:solidFill>
            </a:ln>
          </c:spPr>
          <c:marker>
            <c:symbol val="circle"/>
            <c:size val="5"/>
            <c:spPr>
              <a:solidFill>
                <a:srgbClr val="FF0000"/>
              </a:solidFill>
              <a:ln>
                <a:noFill/>
              </a:ln>
            </c:spPr>
          </c:marker>
          <c:dLbls>
            <c:dLbl>
              <c:idx val="0"/>
              <c:layout>
                <c:manualLayout>
                  <c:x val="-7.6655196573145165E-2"/>
                  <c:y val="2.56703214158884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FC1-40C1-A327-9D5DC51ED988}"/>
                </c:ext>
              </c:extLst>
            </c:dLbl>
            <c:dLbl>
              <c:idx val="1"/>
              <c:delete val="1"/>
              <c:extLst>
                <c:ext xmlns:c15="http://schemas.microsoft.com/office/drawing/2012/chart" uri="{CE6537A1-D6FC-4f65-9D91-7224C49458BB}"/>
                <c:ext xmlns:c16="http://schemas.microsoft.com/office/drawing/2014/chart" uri="{C3380CC4-5D6E-409C-BE32-E72D297353CC}">
                  <c16:uniqueId val="{00000006-0FC1-40C1-A327-9D5DC51ED988}"/>
                </c:ext>
              </c:extLst>
            </c:dLbl>
            <c:dLbl>
              <c:idx val="2"/>
              <c:delete val="1"/>
              <c:extLst>
                <c:ext xmlns:c15="http://schemas.microsoft.com/office/drawing/2012/chart" uri="{CE6537A1-D6FC-4f65-9D91-7224C49458BB}"/>
                <c:ext xmlns:c16="http://schemas.microsoft.com/office/drawing/2014/chart" uri="{C3380CC4-5D6E-409C-BE32-E72D297353CC}">
                  <c16:uniqueId val="{00000007-0FC1-40C1-A327-9D5DC51ED988}"/>
                </c:ext>
              </c:extLst>
            </c:dLbl>
            <c:dLbl>
              <c:idx val="3"/>
              <c:delete val="1"/>
              <c:extLst>
                <c:ext xmlns:c15="http://schemas.microsoft.com/office/drawing/2012/chart" uri="{CE6537A1-D6FC-4f65-9D91-7224C49458BB}"/>
                <c:ext xmlns:c16="http://schemas.microsoft.com/office/drawing/2014/chart" uri="{C3380CC4-5D6E-409C-BE32-E72D297353CC}">
                  <c16:uniqueId val="{00000008-0FC1-40C1-A327-9D5DC51ED988}"/>
                </c:ext>
              </c:extLst>
            </c:dLbl>
            <c:dLbl>
              <c:idx val="4"/>
              <c:delete val="1"/>
              <c:extLst>
                <c:ext xmlns:c15="http://schemas.microsoft.com/office/drawing/2012/chart" uri="{CE6537A1-D6FC-4f65-9D91-7224C49458BB}"/>
                <c:ext xmlns:c16="http://schemas.microsoft.com/office/drawing/2014/chart" uri="{C3380CC4-5D6E-409C-BE32-E72D297353CC}">
                  <c16:uniqueId val="{00000009-0FC1-40C1-A327-9D5DC51ED988}"/>
                </c:ext>
              </c:extLst>
            </c:dLbl>
            <c:dLbl>
              <c:idx val="5"/>
              <c:delete val="1"/>
              <c:extLst>
                <c:ext xmlns:c15="http://schemas.microsoft.com/office/drawing/2012/chart" uri="{CE6537A1-D6FC-4f65-9D91-7224C49458BB}"/>
                <c:ext xmlns:c16="http://schemas.microsoft.com/office/drawing/2014/chart" uri="{C3380CC4-5D6E-409C-BE32-E72D297353CC}">
                  <c16:uniqueId val="{0000000A-0FC1-40C1-A327-9D5DC51ED988}"/>
                </c:ext>
              </c:extLst>
            </c:dLbl>
            <c:dLbl>
              <c:idx val="6"/>
              <c:delete val="1"/>
              <c:extLst>
                <c:ext xmlns:c15="http://schemas.microsoft.com/office/drawing/2012/chart" uri="{CE6537A1-D6FC-4f65-9D91-7224C49458BB}"/>
                <c:ext xmlns:c16="http://schemas.microsoft.com/office/drawing/2014/chart" uri="{C3380CC4-5D6E-409C-BE32-E72D297353CC}">
                  <c16:uniqueId val="{0000000B-0FC1-40C1-A327-9D5DC51ED988}"/>
                </c:ext>
              </c:extLst>
            </c:dLbl>
            <c:dLbl>
              <c:idx val="7"/>
              <c:delete val="1"/>
              <c:extLst>
                <c:ext xmlns:c15="http://schemas.microsoft.com/office/drawing/2012/chart" uri="{CE6537A1-D6FC-4f65-9D91-7224C49458BB}"/>
                <c:ext xmlns:c16="http://schemas.microsoft.com/office/drawing/2014/chart" uri="{C3380CC4-5D6E-409C-BE32-E72D297353CC}">
                  <c16:uniqueId val="{0000000C-0FC1-40C1-A327-9D5DC51ED988}"/>
                </c:ext>
              </c:extLst>
            </c:dLbl>
            <c:dLbl>
              <c:idx val="8"/>
              <c:delete val="1"/>
              <c:extLst>
                <c:ext xmlns:c15="http://schemas.microsoft.com/office/drawing/2012/chart" uri="{CE6537A1-D6FC-4f65-9D91-7224C49458BB}"/>
                <c:ext xmlns:c16="http://schemas.microsoft.com/office/drawing/2014/chart" uri="{C3380CC4-5D6E-409C-BE32-E72D297353CC}">
                  <c16:uniqueId val="{0000000D-0FC1-40C1-A327-9D5DC51ED988}"/>
                </c:ext>
              </c:extLst>
            </c:dLbl>
            <c:dLbl>
              <c:idx val="9"/>
              <c:delete val="1"/>
              <c:extLst>
                <c:ext xmlns:c15="http://schemas.microsoft.com/office/drawing/2012/chart" uri="{CE6537A1-D6FC-4f65-9D91-7224C49458BB}"/>
                <c:ext xmlns:c16="http://schemas.microsoft.com/office/drawing/2014/chart" uri="{C3380CC4-5D6E-409C-BE32-E72D297353CC}">
                  <c16:uniqueId val="{0000000E-0FC1-40C1-A327-9D5DC51ED988}"/>
                </c:ext>
              </c:extLst>
            </c:dLbl>
            <c:dLbl>
              <c:idx val="10"/>
              <c:delete val="1"/>
              <c:extLst>
                <c:ext xmlns:c15="http://schemas.microsoft.com/office/drawing/2012/chart" uri="{CE6537A1-D6FC-4f65-9D91-7224C49458BB}"/>
                <c:ext xmlns:c16="http://schemas.microsoft.com/office/drawing/2014/chart" uri="{C3380CC4-5D6E-409C-BE32-E72D297353CC}">
                  <c16:uniqueId val="{0000000F-0FC1-40C1-A327-9D5DC51ED988}"/>
                </c:ext>
              </c:extLst>
            </c:dLbl>
            <c:dLbl>
              <c:idx val="11"/>
              <c:delete val="1"/>
              <c:extLst>
                <c:ext xmlns:c15="http://schemas.microsoft.com/office/drawing/2012/chart" uri="{CE6537A1-D6FC-4f65-9D91-7224C49458BB}"/>
                <c:ext xmlns:c16="http://schemas.microsoft.com/office/drawing/2014/chart" uri="{C3380CC4-5D6E-409C-BE32-E72D297353CC}">
                  <c16:uniqueId val="{00000010-0FC1-40C1-A327-9D5DC51ED988}"/>
                </c:ext>
              </c:extLst>
            </c:dLbl>
            <c:dLbl>
              <c:idx val="12"/>
              <c:delete val="1"/>
              <c:extLst>
                <c:ext xmlns:c15="http://schemas.microsoft.com/office/drawing/2012/chart" uri="{CE6537A1-D6FC-4f65-9D91-7224C49458BB}"/>
                <c:ext xmlns:c16="http://schemas.microsoft.com/office/drawing/2014/chart" uri="{C3380CC4-5D6E-409C-BE32-E72D297353CC}">
                  <c16:uniqueId val="{00000011-0FC1-40C1-A327-9D5DC51ED988}"/>
                </c:ext>
              </c:extLst>
            </c:dLbl>
            <c:dLbl>
              <c:idx val="13"/>
              <c:delete val="1"/>
              <c:extLst>
                <c:ext xmlns:c15="http://schemas.microsoft.com/office/drawing/2012/chart" uri="{CE6537A1-D6FC-4f65-9D91-7224C49458BB}"/>
                <c:ext xmlns:c16="http://schemas.microsoft.com/office/drawing/2014/chart" uri="{C3380CC4-5D6E-409C-BE32-E72D297353CC}">
                  <c16:uniqueId val="{00000012-0FC1-40C1-A327-9D5DC51ED988}"/>
                </c:ext>
              </c:extLst>
            </c:dLbl>
            <c:dLbl>
              <c:idx val="14"/>
              <c:delete val="1"/>
              <c:extLst>
                <c:ext xmlns:c15="http://schemas.microsoft.com/office/drawing/2012/chart" uri="{CE6537A1-D6FC-4f65-9D91-7224C49458BB}"/>
                <c:ext xmlns:c16="http://schemas.microsoft.com/office/drawing/2014/chart" uri="{C3380CC4-5D6E-409C-BE32-E72D297353CC}">
                  <c16:uniqueId val="{00000013-0FC1-40C1-A327-9D5DC51ED988}"/>
                </c:ext>
              </c:extLst>
            </c:dLbl>
            <c:dLbl>
              <c:idx val="15"/>
              <c:delete val="1"/>
              <c:extLst>
                <c:ext xmlns:c15="http://schemas.microsoft.com/office/drawing/2012/chart" uri="{CE6537A1-D6FC-4f65-9D91-7224C49458BB}"/>
                <c:ext xmlns:c16="http://schemas.microsoft.com/office/drawing/2014/chart" uri="{C3380CC4-5D6E-409C-BE32-E72D297353CC}">
                  <c16:uniqueId val="{00000014-0FC1-40C1-A327-9D5DC51ED988}"/>
                </c:ext>
              </c:extLst>
            </c:dLbl>
            <c:dLbl>
              <c:idx val="16"/>
              <c:delete val="1"/>
              <c:extLst>
                <c:ext xmlns:c15="http://schemas.microsoft.com/office/drawing/2012/chart" uri="{CE6537A1-D6FC-4f65-9D91-7224C49458BB}"/>
                <c:ext xmlns:c16="http://schemas.microsoft.com/office/drawing/2014/chart" uri="{C3380CC4-5D6E-409C-BE32-E72D297353CC}">
                  <c16:uniqueId val="{00000015-0FC1-40C1-A327-9D5DC51ED988}"/>
                </c:ext>
              </c:extLst>
            </c:dLbl>
            <c:dLbl>
              <c:idx val="17"/>
              <c:delete val="1"/>
              <c:extLst>
                <c:ext xmlns:c15="http://schemas.microsoft.com/office/drawing/2012/chart" uri="{CE6537A1-D6FC-4f65-9D91-7224C49458BB}"/>
                <c:ext xmlns:c16="http://schemas.microsoft.com/office/drawing/2014/chart" uri="{C3380CC4-5D6E-409C-BE32-E72D297353CC}">
                  <c16:uniqueId val="{00000016-0FC1-40C1-A327-9D5DC51ED988}"/>
                </c:ext>
              </c:extLst>
            </c:dLbl>
            <c:dLbl>
              <c:idx val="18"/>
              <c:delete val="1"/>
              <c:extLst>
                <c:ext xmlns:c15="http://schemas.microsoft.com/office/drawing/2012/chart" uri="{CE6537A1-D6FC-4f65-9D91-7224C49458BB}"/>
                <c:ext xmlns:c16="http://schemas.microsoft.com/office/drawing/2014/chart" uri="{C3380CC4-5D6E-409C-BE32-E72D297353CC}">
                  <c16:uniqueId val="{00000017-0FC1-40C1-A327-9D5DC51ED988}"/>
                </c:ext>
              </c:extLst>
            </c:dLbl>
            <c:dLbl>
              <c:idx val="19"/>
              <c:delete val="1"/>
              <c:extLst>
                <c:ext xmlns:c15="http://schemas.microsoft.com/office/drawing/2012/chart" uri="{CE6537A1-D6FC-4f65-9D91-7224C49458BB}"/>
                <c:ext xmlns:c16="http://schemas.microsoft.com/office/drawing/2014/chart" uri="{C3380CC4-5D6E-409C-BE32-E72D297353CC}">
                  <c16:uniqueId val="{00000018-0FC1-40C1-A327-9D5DC51ED988}"/>
                </c:ext>
              </c:extLst>
            </c:dLbl>
            <c:dLbl>
              <c:idx val="20"/>
              <c:delete val="1"/>
              <c:extLst>
                <c:ext xmlns:c15="http://schemas.microsoft.com/office/drawing/2012/chart" uri="{CE6537A1-D6FC-4f65-9D91-7224C49458BB}"/>
                <c:ext xmlns:c16="http://schemas.microsoft.com/office/drawing/2014/chart" uri="{C3380CC4-5D6E-409C-BE32-E72D297353CC}">
                  <c16:uniqueId val="{00000019-0FC1-40C1-A327-9D5DC51ED988}"/>
                </c:ext>
              </c:extLst>
            </c:dLbl>
            <c:dLbl>
              <c:idx val="21"/>
              <c:delete val="1"/>
              <c:extLst>
                <c:ext xmlns:c15="http://schemas.microsoft.com/office/drawing/2012/chart" uri="{CE6537A1-D6FC-4f65-9D91-7224C49458BB}"/>
                <c:ext xmlns:c16="http://schemas.microsoft.com/office/drawing/2014/chart" uri="{C3380CC4-5D6E-409C-BE32-E72D297353CC}">
                  <c16:uniqueId val="{0000001A-0FC1-40C1-A327-9D5DC51ED988}"/>
                </c:ext>
              </c:extLst>
            </c:dLbl>
            <c:dLbl>
              <c:idx val="22"/>
              <c:delete val="1"/>
              <c:extLst>
                <c:ext xmlns:c15="http://schemas.microsoft.com/office/drawing/2012/chart" uri="{CE6537A1-D6FC-4f65-9D91-7224C49458BB}"/>
                <c:ext xmlns:c16="http://schemas.microsoft.com/office/drawing/2014/chart" uri="{C3380CC4-5D6E-409C-BE32-E72D297353CC}">
                  <c16:uniqueId val="{0000001B-0FC1-40C1-A327-9D5DC51ED988}"/>
                </c:ext>
              </c:extLst>
            </c:dLbl>
            <c:dLbl>
              <c:idx val="23"/>
              <c:delete val="1"/>
              <c:extLst>
                <c:ext xmlns:c15="http://schemas.microsoft.com/office/drawing/2012/chart" uri="{CE6537A1-D6FC-4f65-9D91-7224C49458BB}"/>
                <c:ext xmlns:c16="http://schemas.microsoft.com/office/drawing/2014/chart" uri="{C3380CC4-5D6E-409C-BE32-E72D297353CC}">
                  <c16:uniqueId val="{0000001C-0FC1-40C1-A327-9D5DC51ED988}"/>
                </c:ext>
              </c:extLst>
            </c:dLbl>
            <c:dLbl>
              <c:idx val="24"/>
              <c:layout>
                <c:manualLayout>
                  <c:x val="2.8201546302984364E-2"/>
                  <c:y val="3.8053828995913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0FC1-40C1-A327-9D5DC51ED988}"/>
                </c:ext>
              </c:extLst>
            </c:dLbl>
            <c:spPr>
              <a:solidFill>
                <a:schemeClr val="bg1"/>
              </a:solidFill>
              <a:effectLst>
                <a:softEdge rad="12700"/>
              </a:effectLst>
            </c:spPr>
            <c:txPr>
              <a:bodyPr/>
              <a:lstStyle/>
              <a:p>
                <a:pPr>
                  <a:defRPr sz="1100" b="1" lang="fr-FR">
                    <a:solidFill>
                      <a:srgbClr val="FF0000"/>
                    </a:solidFill>
                  </a:defRPr>
                </a:pPr>
                <a:endParaRPr lang="fr-FR"/>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couvain'!$BB$4:$BB$28</c:f>
              <c:numCache>
                <c:formatCode>#,##0</c:formatCode>
                <c:ptCount val="25"/>
                <c:pt idx="0">
                  <c:v>100</c:v>
                </c:pt>
                <c:pt idx="1">
                  <c:v>92.660083310629844</c:v>
                </c:pt>
                <c:pt idx="2">
                  <c:v>85.398760779561485</c:v>
                </c:pt>
                <c:pt idx="3">
                  <c:v>79.128371205453078</c:v>
                </c:pt>
                <c:pt idx="4">
                  <c:v>91.582388491402227</c:v>
                </c:pt>
                <c:pt idx="5">
                  <c:v>76.490629565015396</c:v>
                </c:pt>
                <c:pt idx="6">
                  <c:v>97.748270936739701</c:v>
                </c:pt>
                <c:pt idx="7">
                  <c:v>85.79619554269081</c:v>
                </c:pt>
                <c:pt idx="8">
                  <c:v>76.521914181502552</c:v>
                </c:pt>
                <c:pt idx="9">
                  <c:v>100.1340448315154</c:v>
                </c:pt>
                <c:pt idx="10">
                  <c:v>120.73188009519274</c:v>
                </c:pt>
                <c:pt idx="11">
                  <c:v>146.83809559182916</c:v>
                </c:pt>
                <c:pt idx="12">
                  <c:v>183.53310937702634</c:v>
                </c:pt>
                <c:pt idx="13">
                  <c:v>213.23355006801481</c:v>
                </c:pt>
                <c:pt idx="14">
                  <c:v>256.8515244954541</c:v>
                </c:pt>
                <c:pt idx="15">
                  <c:v>316.56897810163275</c:v>
                </c:pt>
                <c:pt idx="16">
                  <c:v>373.13660138547226</c:v>
                </c:pt>
                <c:pt idx="17">
                  <c:v>421.69982300166129</c:v>
                </c:pt>
                <c:pt idx="18">
                  <c:v>503.26124154346036</c:v>
                </c:pt>
                <c:pt idx="19">
                  <c:v>486.83870826874352</c:v>
                </c:pt>
                <c:pt idx="20">
                  <c:v>510.78874566883428</c:v>
                </c:pt>
                <c:pt idx="21">
                  <c:v>429.08910992098674</c:v>
                </c:pt>
                <c:pt idx="22">
                  <c:v>397.58331455989128</c:v>
                </c:pt>
                <c:pt idx="23">
                  <c:v>368.39082689732493</c:v>
                </c:pt>
                <c:pt idx="24">
                  <c:v>341.34179270657347</c:v>
                </c:pt>
              </c:numCache>
            </c:numRef>
          </c:val>
          <c:smooth val="0"/>
          <c:extLst>
            <c:ext xmlns:c16="http://schemas.microsoft.com/office/drawing/2014/chart" uri="{C3380CC4-5D6E-409C-BE32-E72D297353CC}">
              <c16:uniqueId val="{0000001E-0FC1-40C1-A327-9D5DC51ED988}"/>
            </c:ext>
          </c:extLst>
        </c:ser>
        <c:ser>
          <c:idx val="7"/>
          <c:order val="7"/>
          <c:tx>
            <c:v>Arrivées de varroas (immigration)</c:v>
          </c:tx>
          <c:spPr>
            <a:ln>
              <a:noFill/>
              <a:prstDash val="sysDot"/>
            </a:ln>
          </c:spPr>
          <c:marker>
            <c:symbol val="none"/>
          </c:marke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couvain'!$DM$4:$DM$28</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smooth val="0"/>
          <c:extLst>
            <c:ext xmlns:c16="http://schemas.microsoft.com/office/drawing/2014/chart" uri="{C3380CC4-5D6E-409C-BE32-E72D297353CC}">
              <c16:uniqueId val="{0000001F-0FC1-40C1-A327-9D5DC51ED988}"/>
            </c:ext>
          </c:extLst>
        </c:ser>
        <c:dLbls>
          <c:showLegendKey val="0"/>
          <c:showVal val="0"/>
          <c:showCatName val="0"/>
          <c:showSerName val="0"/>
          <c:showPercent val="0"/>
          <c:showBubbleSize val="0"/>
        </c:dLbls>
        <c:marker val="1"/>
        <c:smooth val="0"/>
        <c:axId val="415788032"/>
        <c:axId val="415814784"/>
      </c:lineChart>
      <c:lineChart>
        <c:grouping val="standard"/>
        <c:varyColors val="0"/>
        <c:ser>
          <c:idx val="0"/>
          <c:order val="4"/>
          <c:tx>
            <c:v>Comptage par lavage à l’alcool</c:v>
          </c:tx>
          <c:spPr>
            <a:ln>
              <a:solidFill>
                <a:srgbClr val="00B0F0"/>
              </a:solidFill>
            </a:ln>
          </c:spPr>
          <c:marker>
            <c:symbol val="square"/>
            <c:size val="5"/>
            <c:spPr>
              <a:solidFill>
                <a:srgbClr val="00B0F0"/>
              </a:solidFill>
              <a:ln>
                <a:noFill/>
              </a:ln>
            </c:spPr>
          </c:marker>
          <c:dLbls>
            <c:spPr>
              <a:solidFill>
                <a:schemeClr val="bg1"/>
              </a:solidFill>
              <a:effectLst>
                <a:glow>
                  <a:schemeClr val="accent1">
                    <a:alpha val="40000"/>
                  </a:schemeClr>
                </a:glow>
                <a:softEdge rad="31750"/>
              </a:effectLst>
            </c:spPr>
            <c:txPr>
              <a:bodyPr/>
              <a:lstStyle/>
              <a:p>
                <a:pPr>
                  <a:defRPr sz="1200" lang="fr-FR">
                    <a:solidFill>
                      <a:srgbClr val="00B0F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couvain'!$BE$4:$BE$28</c:f>
              <c:numCache>
                <c:formatCode>0</c:formatCode>
                <c:ptCount val="25"/>
                <c:pt idx="0">
                  <c:v>1.3641486179387587</c:v>
                </c:pt>
                <c:pt idx="1">
                  <c:v>1.8242453901780251</c:v>
                </c:pt>
                <c:pt idx="2">
                  <c:v>1.6812881028476168</c:v>
                </c:pt>
                <c:pt idx="3">
                  <c:v>1.079428582196639</c:v>
                </c:pt>
                <c:pt idx="4">
                  <c:v>2.0606037410565503</c:v>
                </c:pt>
                <c:pt idx="5">
                  <c:v>1.0581486271164688</c:v>
                </c:pt>
                <c:pt idx="6">
                  <c:v>1.1601899691033579</c:v>
                </c:pt>
                <c:pt idx="7">
                  <c:v>0.30180835338144429</c:v>
                </c:pt>
                <c:pt idx="8">
                  <c:v>0.22328565524416952</c:v>
                </c:pt>
                <c:pt idx="9">
                  <c:v>0.30279060851457201</c:v>
                </c:pt>
                <c:pt idx="10">
                  <c:v>0.29980839048016483</c:v>
                </c:pt>
                <c:pt idx="11">
                  <c:v>0.33648308495058588</c:v>
                </c:pt>
                <c:pt idx="12">
                  <c:v>0.45382869313241625</c:v>
                </c:pt>
                <c:pt idx="13">
                  <c:v>0.56015853399290849</c:v>
                </c:pt>
                <c:pt idx="14">
                  <c:v>0.71581470437430361</c:v>
                </c:pt>
                <c:pt idx="15">
                  <c:v>1.0679139600240106</c:v>
                </c:pt>
                <c:pt idx="16">
                  <c:v>1.6635061638148847</c:v>
                </c:pt>
                <c:pt idx="17">
                  <c:v>2.1933441022525719</c:v>
                </c:pt>
                <c:pt idx="18">
                  <c:v>4.5201068687127783</c:v>
                </c:pt>
                <c:pt idx="19">
                  <c:v>5.6352686697921994</c:v>
                </c:pt>
                <c:pt idx="20">
                  <c:v>10.056153430355174</c:v>
                </c:pt>
                <c:pt idx="21">
                  <c:v>8.4476918515694273</c:v>
                </c:pt>
                <c:pt idx="22">
                  <c:v>7.8274215053978589</c:v>
                </c:pt>
                <c:pt idx="23">
                  <c:v>7.252694404541085</c:v>
                </c:pt>
                <c:pt idx="24">
                  <c:v>6.7201665439106657</c:v>
                </c:pt>
              </c:numCache>
            </c:numRef>
          </c:val>
          <c:smooth val="0"/>
          <c:extLst>
            <c:ext xmlns:c16="http://schemas.microsoft.com/office/drawing/2014/chart" uri="{C3380CC4-5D6E-409C-BE32-E72D297353CC}">
              <c16:uniqueId val="{00000020-0FC1-40C1-A327-9D5DC51ED988}"/>
            </c:ext>
          </c:extLst>
        </c:ser>
        <c:ser>
          <c:idx val="4"/>
          <c:order val="5"/>
          <c:tx>
            <c:v>Comptage moyen par lavage aux États-Unis</c:v>
          </c:tx>
          <c:spPr>
            <a:ln w="25400">
              <a:noFill/>
              <a:prstDash val="dash"/>
            </a:ln>
          </c:spPr>
          <c:marker>
            <c:symbol val="none"/>
          </c:marker>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couvain'!$ET$4:$ET$27</c:f>
              <c:numCache>
                <c:formatCode>General</c:formatCode>
                <c:ptCount val="24"/>
                <c:pt idx="1">
                  <c:v>5.67</c:v>
                </c:pt>
                <c:pt idx="3">
                  <c:v>6.3</c:v>
                </c:pt>
                <c:pt idx="5">
                  <c:v>10.08</c:v>
                </c:pt>
                <c:pt idx="7">
                  <c:v>7.875</c:v>
                </c:pt>
                <c:pt idx="9">
                  <c:v>10.08</c:v>
                </c:pt>
                <c:pt idx="11">
                  <c:v>5.9849999999999994</c:v>
                </c:pt>
                <c:pt idx="13">
                  <c:v>11.654999999999999</c:v>
                </c:pt>
                <c:pt idx="15">
                  <c:v>13.23</c:v>
                </c:pt>
                <c:pt idx="17">
                  <c:v>19.53</c:v>
                </c:pt>
                <c:pt idx="19">
                  <c:v>25.83</c:v>
                </c:pt>
                <c:pt idx="21">
                  <c:v>17.954999999999998</c:v>
                </c:pt>
                <c:pt idx="23">
                  <c:v>11.025</c:v>
                </c:pt>
              </c:numCache>
            </c:numRef>
          </c:val>
          <c:smooth val="0"/>
          <c:extLst>
            <c:ext xmlns:c16="http://schemas.microsoft.com/office/drawing/2014/chart" uri="{C3380CC4-5D6E-409C-BE32-E72D297353CC}">
              <c16:uniqueId val="{00000021-0FC1-40C1-A327-9D5DC51ED988}"/>
            </c:ext>
          </c:extLst>
        </c:ser>
        <c:ser>
          <c:idx val="5"/>
          <c:order val="6"/>
          <c:tx>
            <c:v>Traitement et efficacité</c:v>
          </c:tx>
          <c:spPr>
            <a:ln>
              <a:noFill/>
            </a:ln>
          </c:spPr>
          <c:marker>
            <c:symbol val="triangle"/>
            <c:size val="16"/>
            <c:spPr>
              <a:solidFill>
                <a:schemeClr val="tx1"/>
              </a:solidFill>
              <a:ln>
                <a:noFill/>
              </a:ln>
            </c:spPr>
          </c:marker>
          <c:dLbls>
            <c:dLbl>
              <c:idx val="24"/>
              <c:delete val="1"/>
              <c:extLst>
                <c:ext xmlns:c15="http://schemas.microsoft.com/office/drawing/2012/chart" uri="{CE6537A1-D6FC-4f65-9D91-7224C49458BB}"/>
                <c:ext xmlns:c16="http://schemas.microsoft.com/office/drawing/2014/chart" uri="{C3380CC4-5D6E-409C-BE32-E72D297353CC}">
                  <c16:uniqueId val="{00000022-0FC1-40C1-A327-9D5DC51ED988}"/>
                </c:ext>
              </c:extLst>
            </c:dLbl>
            <c:spPr>
              <a:noFill/>
              <a:ln>
                <a:noFill/>
              </a:ln>
              <a:effectLst/>
            </c:spPr>
            <c:txPr>
              <a:bodyPr/>
              <a:lstStyle/>
              <a:p>
                <a:pPr>
                  <a:defRPr sz="1200" b="1" lang="fr-F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couvain'!$C$20:$Z$20</c:f>
              <c:numCache>
                <c:formatCode>0%</c:formatCode>
                <c:ptCount val="24"/>
              </c:numCache>
            </c:numRef>
          </c:val>
          <c:smooth val="0"/>
          <c:extLst>
            <c:ext xmlns:c16="http://schemas.microsoft.com/office/drawing/2014/chart" uri="{C3380CC4-5D6E-409C-BE32-E72D297353CC}">
              <c16:uniqueId val="{00000023-0FC1-40C1-A327-9D5DC51ED988}"/>
            </c:ext>
          </c:extLst>
        </c:ser>
        <c:ser>
          <c:idx val="8"/>
          <c:order val="8"/>
          <c:tx>
            <c:v>Taux logarithmique quotidien r</c:v>
          </c:tx>
          <c:cat>
            <c:numRef>
              <c:f>'Rupture de couvain'!$BP$4:$BP$28</c:f>
              <c:numCache>
                <c:formatCode>[$-40C]d\-mmm;@</c:formatCode>
                <c:ptCount val="25"/>
                <c:pt idx="0">
                  <c:v>40544</c:v>
                </c:pt>
                <c:pt idx="1">
                  <c:v>40558</c:v>
                </c:pt>
                <c:pt idx="2">
                  <c:v>40575</c:v>
                </c:pt>
                <c:pt idx="3">
                  <c:v>40589</c:v>
                </c:pt>
                <c:pt idx="4">
                  <c:v>40603</c:v>
                </c:pt>
                <c:pt idx="5">
                  <c:v>40617</c:v>
                </c:pt>
                <c:pt idx="6">
                  <c:v>40634</c:v>
                </c:pt>
                <c:pt idx="7">
                  <c:v>40648</c:v>
                </c:pt>
                <c:pt idx="8">
                  <c:v>40664</c:v>
                </c:pt>
                <c:pt idx="9">
                  <c:v>40678</c:v>
                </c:pt>
                <c:pt idx="10">
                  <c:v>40695</c:v>
                </c:pt>
                <c:pt idx="11">
                  <c:v>40709</c:v>
                </c:pt>
                <c:pt idx="12">
                  <c:v>40725</c:v>
                </c:pt>
                <c:pt idx="13">
                  <c:v>40739</c:v>
                </c:pt>
                <c:pt idx="14">
                  <c:v>40756</c:v>
                </c:pt>
                <c:pt idx="15">
                  <c:v>40770</c:v>
                </c:pt>
                <c:pt idx="16">
                  <c:v>40787</c:v>
                </c:pt>
                <c:pt idx="17">
                  <c:v>40801</c:v>
                </c:pt>
                <c:pt idx="18">
                  <c:v>40817</c:v>
                </c:pt>
                <c:pt idx="19">
                  <c:v>40831</c:v>
                </c:pt>
                <c:pt idx="20">
                  <c:v>40848</c:v>
                </c:pt>
                <c:pt idx="21">
                  <c:v>40862</c:v>
                </c:pt>
                <c:pt idx="22">
                  <c:v>40878</c:v>
                </c:pt>
                <c:pt idx="23">
                  <c:v>40892</c:v>
                </c:pt>
                <c:pt idx="24">
                  <c:v>40908</c:v>
                </c:pt>
              </c:numCache>
            </c:numRef>
          </c:cat>
          <c:val>
            <c:numRef>
              <c:f>'Rupture de couvain'!$AW$24</c:f>
              <c:numCache>
                <c:formatCode>0.000</c:formatCode>
                <c:ptCount val="1"/>
                <c:pt idx="0">
                  <c:v>1.0407314225556562E-2</c:v>
                </c:pt>
              </c:numCache>
            </c:numRef>
          </c:val>
          <c:smooth val="0"/>
          <c:extLst>
            <c:ext xmlns:c16="http://schemas.microsoft.com/office/drawing/2014/chart" uri="{C3380CC4-5D6E-409C-BE32-E72D297353CC}">
              <c16:uniqueId val="{00000024-0FC1-40C1-A327-9D5DC51ED988}"/>
            </c:ext>
          </c:extLst>
        </c:ser>
        <c:ser>
          <c:idx val="11"/>
          <c:order val="11"/>
          <c:tx>
            <c:v>Rupture de couvain</c:v>
          </c:tx>
          <c:spPr>
            <a:ln>
              <a:noFill/>
            </a:ln>
          </c:spPr>
          <c:marker>
            <c:symbol val="triangle"/>
            <c:size val="12"/>
            <c:spPr>
              <a:solidFill>
                <a:srgbClr val="B3E971"/>
              </a:solidFill>
              <a:ln>
                <a:solidFill>
                  <a:schemeClr val="tx1"/>
                </a:solidFill>
              </a:ln>
            </c:spPr>
          </c:marker>
          <c:val>
            <c:numRef>
              <c:f>'Rupture de couvain'!$AD$4:$AD$28</c:f>
              <c:numCache>
                <c:formatCode>General</c:formatCode>
                <c:ptCount val="25"/>
                <c:pt idx="6">
                  <c:v>0</c:v>
                </c:pt>
                <c:pt idx="7">
                  <c:v>0</c:v>
                </c:pt>
              </c:numCache>
            </c:numRef>
          </c:val>
          <c:smooth val="0"/>
          <c:extLst>
            <c:ext xmlns:c16="http://schemas.microsoft.com/office/drawing/2014/chart" uri="{C3380CC4-5D6E-409C-BE32-E72D297353CC}">
              <c16:uniqueId val="{00000025-0FC1-40C1-A327-9D5DC51ED988}"/>
            </c:ext>
          </c:extLst>
        </c:ser>
        <c:dLbls>
          <c:showLegendKey val="0"/>
          <c:showVal val="0"/>
          <c:showCatName val="0"/>
          <c:showSerName val="0"/>
          <c:showPercent val="0"/>
          <c:showBubbleSize val="0"/>
        </c:dLbls>
        <c:marker val="1"/>
        <c:smooth val="0"/>
        <c:axId val="415822976"/>
        <c:axId val="415816704"/>
      </c:lineChart>
      <c:dateAx>
        <c:axId val="415788032"/>
        <c:scaling>
          <c:orientation val="minMax"/>
        </c:scaling>
        <c:delete val="0"/>
        <c:axPos val="b"/>
        <c:numFmt formatCode="[$-40C]d\ mmm;@" sourceLinked="0"/>
        <c:majorTickMark val="out"/>
        <c:minorTickMark val="none"/>
        <c:tickLblPos val="nextTo"/>
        <c:txPr>
          <a:bodyPr/>
          <a:lstStyle/>
          <a:p>
            <a:pPr>
              <a:defRPr baseline="0" lang="fr-FR">
                <a:solidFill>
                  <a:schemeClr val="tx1"/>
                </a:solidFill>
              </a:defRPr>
            </a:pPr>
            <a:endParaRPr lang="fr-FR"/>
          </a:p>
        </c:txPr>
        <c:crossAx val="415814784"/>
        <c:crosses val="autoZero"/>
        <c:auto val="0"/>
        <c:lblOffset val="100"/>
        <c:baseTimeUnit val="days"/>
        <c:majorUnit val="1"/>
        <c:majorTimeUnit val="months"/>
        <c:minorUnit val="1"/>
        <c:minorTimeUnit val="months"/>
      </c:dateAx>
      <c:valAx>
        <c:axId val="415814784"/>
        <c:scaling>
          <c:orientation val="minMax"/>
          <c:max val="60000"/>
          <c:min val="0"/>
        </c:scaling>
        <c:delete val="0"/>
        <c:axPos val="l"/>
        <c:majorGridlines/>
        <c:title>
          <c:tx>
            <c:rich>
              <a:bodyPr rot="-5400000" vert="horz"/>
              <a:lstStyle/>
              <a:p>
                <a:pPr>
                  <a:defRPr sz="1200" b="0" lang="fr-FR"/>
                </a:pPr>
                <a:r>
                  <a:rPr lang="fr-FR" sz="1200" b="0" baseline="0"/>
                  <a:t xml:space="preserve">Nombre d’abeilles, de varroas ou de cellules de couvain</a:t>
                </a:r>
              </a:p>
            </c:rich>
          </c:tx>
          <c:layout>
            <c:manualLayout>
              <c:xMode val="edge"/>
              <c:yMode val="edge"/>
              <c:x val="9.0387644388732671E-3"/>
              <c:y val="3.3385597277255114E-3"/>
            </c:manualLayout>
          </c:layout>
          <c:overlay val="0"/>
        </c:title>
        <c:numFmt formatCode="#,##0" sourceLinked="0"/>
        <c:majorTickMark val="out"/>
        <c:minorTickMark val="none"/>
        <c:tickLblPos val="nextTo"/>
        <c:txPr>
          <a:bodyPr/>
          <a:lstStyle/>
          <a:p>
            <a:pPr>
              <a:defRPr sz="900" lang="fr-FR"/>
            </a:pPr>
            <a:endParaRPr lang="fr-FR"/>
          </a:p>
        </c:txPr>
        <c:crossAx val="415788032"/>
        <c:crossesAt val="40544"/>
        <c:crossBetween val="midCat"/>
      </c:valAx>
      <c:valAx>
        <c:axId val="415816704"/>
        <c:scaling>
          <c:orientation val="minMax"/>
          <c:max val="100"/>
          <c:min val="0"/>
        </c:scaling>
        <c:delete val="0"/>
        <c:axPos val="r"/>
        <c:title>
          <c:tx>
            <c:rich>
              <a:bodyPr rot="-5400000" vert="horz"/>
              <a:lstStyle/>
              <a:p>
                <a:pPr>
                  <a:defRPr sz="1200" b="0" lang="fr-FR">
                    <a:solidFill>
                      <a:srgbClr val="0070C0"/>
                    </a:solidFill>
                  </a:defRPr>
                </a:pPr>
                <a:r>
                  <a:rPr lang="fr-FR" sz="1200" b="0">
                    <a:solidFill>
                      <a:srgbClr val="0070C0"/>
                    </a:solidFill>
                  </a:rPr>
                  <a:t xml:space="preserve">Nombre de varroas dans environ 120 mL d’abeilles (½ tasse dans l’original)</a:t>
                </a:r>
              </a:p>
            </c:rich>
          </c:tx>
          <c:layout>
            <c:manualLayout>
              <c:xMode val="edge"/>
              <c:yMode val="edge"/>
              <c:x val="0.94879689702863301"/>
              <c:y val="6.0772618249827833E-2"/>
            </c:manualLayout>
          </c:layout>
          <c:overlay val="0"/>
        </c:title>
        <c:numFmt formatCode="General" sourceLinked="1"/>
        <c:majorTickMark val="out"/>
        <c:minorTickMark val="none"/>
        <c:tickLblPos val="nextTo"/>
        <c:txPr>
          <a:bodyPr/>
          <a:lstStyle/>
          <a:p>
            <a:pPr>
              <a:defRPr b="0" lang="fr-FR">
                <a:solidFill>
                  <a:srgbClr val="0070C0"/>
                </a:solidFill>
              </a:defRPr>
            </a:pPr>
            <a:endParaRPr lang="fr-FR"/>
          </a:p>
        </c:txPr>
        <c:crossAx val="415822976"/>
        <c:crosses val="max"/>
        <c:crossBetween val="between"/>
      </c:valAx>
      <c:dateAx>
        <c:axId val="415822976"/>
        <c:scaling>
          <c:orientation val="minMax"/>
        </c:scaling>
        <c:delete val="1"/>
        <c:axPos val="b"/>
        <c:numFmt formatCode="[$-40C]d\-mmm;@" sourceLinked="1"/>
        <c:majorTickMark val="out"/>
        <c:minorTickMark val="none"/>
        <c:tickLblPos val="none"/>
        <c:crossAx val="415816704"/>
        <c:crosses val="autoZero"/>
        <c:auto val="1"/>
        <c:lblOffset val="100"/>
        <c:baseTimeUnit val="days"/>
        <c:majorUnit val="1"/>
        <c:minorUnit val="1"/>
      </c:dateAx>
      <c:spPr>
        <a:noFill/>
        <a:ln w="25400">
          <a:noFill/>
        </a:ln>
      </c:spPr>
    </c:plotArea>
    <c:legend>
      <c:legendPos val="r"/>
      <c:legendEntry>
        <c:idx val="3"/>
        <c:delete val="1"/>
      </c:legendEntry>
      <c:legendEntry>
        <c:idx val="4"/>
        <c:delete val="1"/>
      </c:legendEntry>
      <c:legendEntry>
        <c:idx val="6"/>
        <c:delete val="1"/>
      </c:legendEntry>
      <c:legendEntry>
        <c:idx val="8"/>
        <c:delete val="1"/>
      </c:legendEntry>
      <c:legendEntry>
        <c:idx val="10"/>
        <c:delete val="1"/>
      </c:legendEntry>
      <c:layout>
        <c:manualLayout>
          <c:xMode val="edge"/>
          <c:yMode val="edge"/>
          <c:x val="8.6913294445544367E-2"/>
          <c:y val="3.4865534338914213E-2"/>
          <c:w val="0.13845176832717698"/>
          <c:h val="0.44468365785738606"/>
        </c:manualLayout>
      </c:layout>
      <c:overlay val="0"/>
      <c:spPr>
        <a:solidFill>
          <a:schemeClr val="bg1"/>
        </a:solidFill>
        <a:ln>
          <a:solidFill>
            <a:schemeClr val="tx1"/>
          </a:solidFill>
        </a:ln>
      </c:spPr>
    </c:legend>
    <c:plotVisOnly val="1"/>
    <c:dispBlanksAs val="span"/>
    <c:showDLblsOverMax val="0"/>
  </c:chart>
  <c:spPr>
    <a:solidFill>
      <a:schemeClr val="bg1"/>
    </a:solidFill>
  </c:spPr>
  <c:printSettings>
    <c:headerFooter/>
    <c:pageMargins b="0" l="0.70000000000000007" r="0.70000000000000007" t="0.75000000000000011" header="0.30000000000000004" footer="0.30000000000000004"/>
    <c:pageSetup orientation="portrait"/>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Données de Boot, étendues</c:v>
          </c:tx>
          <c:spPr>
            <a:ln w="28575">
              <a:noFill/>
              <a:prstDash val="sysDash"/>
            </a:ln>
          </c:spPr>
          <c:marker>
            <c:symbol val="circle"/>
            <c:size val="5"/>
          </c:marker>
          <c:trendline>
            <c:trendlineType val="log"/>
            <c:dispRSqr val="0"/>
            <c:dispEq val="1"/>
            <c:trendlineLbl>
              <c:layout>
                <c:manualLayout>
                  <c:x val="-0.1851113055312531"/>
                  <c:y val="-0.38620152045027067"/>
                </c:manualLayout>
              </c:layout>
              <c:numFmt formatCode="#,##0.0000" sourceLinked="0"/>
            </c:trendlineLbl>
          </c:trendline>
          <c:xVal>
            <c:numRef>
              <c:f>'Rupture de couvain'!$CB$88:$CB$106</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'Rupture de couvain'!$CC$88:$CC$106</c:f>
              <c:numCache>
                <c:formatCode>General</c:formatCode>
                <c:ptCount val="19"/>
                <c:pt idx="0">
                  <c:v>40</c:v>
                </c:pt>
                <c:pt idx="1">
                  <c:v>30</c:v>
                </c:pt>
                <c:pt idx="2">
                  <c:v>20</c:v>
                </c:pt>
                <c:pt idx="3">
                  <c:v>17</c:v>
                </c:pt>
                <c:pt idx="4" formatCode="0.0">
                  <c:v>14.285714285714285</c:v>
                </c:pt>
                <c:pt idx="5" formatCode="0.0">
                  <c:v>12.5</c:v>
                </c:pt>
                <c:pt idx="6" formatCode="0.0">
                  <c:v>10.526315789473685</c:v>
                </c:pt>
                <c:pt idx="7" formatCode="0.0">
                  <c:v>9.0909090909090917</c:v>
                </c:pt>
                <c:pt idx="8" formatCode="0.0">
                  <c:v>7.6923076923076916</c:v>
                </c:pt>
                <c:pt idx="9" formatCode="0.0">
                  <c:v>6.666666666666667</c:v>
                </c:pt>
                <c:pt idx="10" formatCode="0.0">
                  <c:v>4.2105263157894735</c:v>
                </c:pt>
                <c:pt idx="11" formatCode="0.0">
                  <c:v>3.6363636363636367</c:v>
                </c:pt>
                <c:pt idx="12" formatCode="0.0">
                  <c:v>3.0769230769230771</c:v>
                </c:pt>
                <c:pt idx="13" formatCode="0.0">
                  <c:v>2.8571428571428572</c:v>
                </c:pt>
                <c:pt idx="14" formatCode="0.0">
                  <c:v>1.8181818181818181</c:v>
                </c:pt>
                <c:pt idx="15" formatCode="0.0">
                  <c:v>1.6216216216216215</c:v>
                </c:pt>
                <c:pt idx="16">
                  <c:v>1.4</c:v>
                </c:pt>
                <c:pt idx="17">
                  <c:v>1</c:v>
                </c:pt>
                <c:pt idx="18">
                  <c:v>0.5</c:v>
                </c:pt>
              </c:numCache>
            </c:numRef>
          </c:yVal>
          <c:smooth val="0"/>
          <c:extLst>
            <c:ext xmlns:c16="http://schemas.microsoft.com/office/drawing/2014/chart" uri="{C3380CC4-5D6E-409C-BE32-E72D297353CC}">
              <c16:uniqueId val="{00000001-877A-49CB-A560-907E78B48CD0}"/>
            </c:ext>
          </c:extLst>
        </c:ser>
        <c:ser>
          <c:idx val="1"/>
          <c:order val="1"/>
          <c:tx>
            <c:v>Valeurs calculées</c:v>
          </c:tx>
          <c:spPr>
            <a:ln w="25400">
              <a:solidFill>
                <a:srgbClr val="FF0000"/>
              </a:solidFill>
            </a:ln>
          </c:spPr>
          <c:marker>
            <c:symbol val="none"/>
          </c:marker>
          <c:trendline>
            <c:trendlineType val="log"/>
            <c:dispRSqr val="0"/>
            <c:dispEq val="1"/>
            <c:trendlineLbl>
              <c:layout>
                <c:manualLayout>
                  <c:x val="-5.3663579408895726E-2"/>
                  <c:y val="-0.14166963461992321"/>
                </c:manualLayout>
              </c:layout>
              <c:tx>
                <c:rich>
                  <a:bodyPr/>
                  <a:lstStyle/>
                  <a:p>
                    <a:pPr>
                      <a:defRPr lang="fr-FR"/>
                    </a:pPr>
                    <a:r>
                      <a:rPr lang="fr-FR" sz="1200" b="1" baseline="0">
                        <a:solidFill>
                          <a:srgbClr val="FF0000"/>
                        </a:solidFill>
                      </a:rPr>
                      <a:t xml:space="preserve">y = -5ln(x) + 5</a:t>
                    </a:r>
                    <a:endParaRPr lang="fr-FR" sz="1200" b="1">
                      <a:solidFill>
                        <a:srgbClr val="FF0000"/>
                      </a:solidFill>
                    </a:endParaRPr>
                  </a:p>
                </c:rich>
              </c:tx>
              <c:numFmt formatCode="General" sourceLinked="0"/>
            </c:trendlineLbl>
          </c:trendline>
          <c:xVal>
            <c:numRef>
              <c:f>'Rupture de couvain'!$CB$88:$CB$106</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'Rupture de couvain'!$CE$88:$CE$106</c:f>
              <c:numCache>
                <c:formatCode>0.0</c:formatCode>
                <c:ptCount val="19"/>
                <c:pt idx="0">
                  <c:v>39.538776394910684</c:v>
                </c:pt>
                <c:pt idx="1">
                  <c:v>23.444397270569681</c:v>
                </c:pt>
                <c:pt idx="2">
                  <c:v>18.862943611198908</c:v>
                </c:pt>
                <c:pt idx="3">
                  <c:v>16.512925464970227</c:v>
                </c:pt>
                <c:pt idx="4">
                  <c:v>15.397207708399179</c:v>
                </c:pt>
                <c:pt idx="5">
                  <c:v>11.931471805599454</c:v>
                </c:pt>
                <c:pt idx="6">
                  <c:v>9.9041462650586318</c:v>
                </c:pt>
                <c:pt idx="7">
                  <c:v>8.465735902799727</c:v>
                </c:pt>
                <c:pt idx="8">
                  <c:v>7.3500181462286776</c:v>
                </c:pt>
                <c:pt idx="9">
                  <c:v>6.4384103622589048</c:v>
                </c:pt>
                <c:pt idx="10">
                  <c:v>5.6676569631226128</c:v>
                </c:pt>
                <c:pt idx="11">
                  <c:v>5</c:v>
                </c:pt>
                <c:pt idx="12">
                  <c:v>4.4110848217180827</c:v>
                </c:pt>
                <c:pt idx="13">
                  <c:v>3.8842822434289515</c:v>
                </c:pt>
                <c:pt idx="14">
                  <c:v>3.4077313444073272</c:v>
                </c:pt>
                <c:pt idx="15">
                  <c:v>2.9726744594591779</c:v>
                </c:pt>
                <c:pt idx="16">
                  <c:v>1.5342640972002735</c:v>
                </c:pt>
                <c:pt idx="17">
                  <c:v>0.41854634062922447</c:v>
                </c:pt>
                <c:pt idx="18">
                  <c:v>-0.49306144334054913</c:v>
                </c:pt>
              </c:numCache>
            </c:numRef>
          </c:yVal>
          <c:smooth val="0"/>
          <c:extLst>
            <c:ext xmlns:c16="http://schemas.microsoft.com/office/drawing/2014/chart" uri="{C3380CC4-5D6E-409C-BE32-E72D297353CC}">
              <c16:uniqueId val="{00000003-877A-49CB-A560-907E78B48CD0}"/>
            </c:ext>
          </c:extLst>
        </c:ser>
        <c:ser>
          <c:idx val="2"/>
          <c:order val="2"/>
          <c:tx>
            <c:v>Estimations approximatives</c:v>
          </c:tx>
          <c:spPr>
            <a:ln w="28575">
              <a:noFill/>
            </a:ln>
          </c:spPr>
          <c:marker>
            <c:symbol val="triangle"/>
            <c:size val="7"/>
            <c:spPr>
              <a:solidFill>
                <a:srgbClr val="FF0000"/>
              </a:solidFill>
            </c:spPr>
          </c:marker>
          <c:xVal>
            <c:numRef>
              <c:f>'Rupture de couvain'!$CB$88:$CB$106</c:f>
              <c:numCache>
                <c:formatCode>0.00</c:formatCode>
                <c:ptCount val="19"/>
                <c:pt idx="0" formatCode="0.0000">
                  <c:v>1E-3</c:v>
                </c:pt>
                <c:pt idx="1">
                  <c:v>2.5000000000000001E-2</c:v>
                </c:pt>
                <c:pt idx="2">
                  <c:v>6.25E-2</c:v>
                </c:pt>
                <c:pt idx="3">
                  <c:v>0.1</c:v>
                </c:pt>
                <c:pt idx="4">
                  <c:v>0.125</c:v>
                </c:pt>
                <c:pt idx="5">
                  <c:v>0.25</c:v>
                </c:pt>
                <c:pt idx="6">
                  <c:v>0.375</c:v>
                </c:pt>
                <c:pt idx="7">
                  <c:v>0.5</c:v>
                </c:pt>
                <c:pt idx="8">
                  <c:v>0.625</c:v>
                </c:pt>
                <c:pt idx="9">
                  <c:v>0.75</c:v>
                </c:pt>
                <c:pt idx="10">
                  <c:v>0.875</c:v>
                </c:pt>
                <c:pt idx="11">
                  <c:v>1</c:v>
                </c:pt>
                <c:pt idx="12">
                  <c:v>1.125</c:v>
                </c:pt>
                <c:pt idx="13">
                  <c:v>1.25</c:v>
                </c:pt>
                <c:pt idx="14">
                  <c:v>1.375</c:v>
                </c:pt>
                <c:pt idx="15">
                  <c:v>1.5</c:v>
                </c:pt>
                <c:pt idx="16">
                  <c:v>2</c:v>
                </c:pt>
                <c:pt idx="17">
                  <c:v>2.5</c:v>
                </c:pt>
                <c:pt idx="18">
                  <c:v>3</c:v>
                </c:pt>
              </c:numCache>
            </c:numRef>
          </c:xVal>
          <c:yVal>
            <c:numRef>
              <c:f>'Rupture de couvain'!$BZ$88:$BZ$106</c:f>
              <c:numCache>
                <c:formatCode>General</c:formatCode>
                <c:ptCount val="19"/>
                <c:pt idx="0">
                  <c:v>40</c:v>
                </c:pt>
                <c:pt idx="1">
                  <c:v>30</c:v>
                </c:pt>
                <c:pt idx="2">
                  <c:v>20</c:v>
                </c:pt>
                <c:pt idx="3">
                  <c:v>17</c:v>
                </c:pt>
                <c:pt idx="16" formatCode="0.00">
                  <c:v>1.4</c:v>
                </c:pt>
                <c:pt idx="17" formatCode="0.00">
                  <c:v>1</c:v>
                </c:pt>
                <c:pt idx="18" formatCode="0.00">
                  <c:v>0.5</c:v>
                </c:pt>
              </c:numCache>
            </c:numRef>
          </c:yVal>
          <c:smooth val="0"/>
          <c:extLst>
            <c:ext xmlns:c16="http://schemas.microsoft.com/office/drawing/2014/chart" uri="{C3380CC4-5D6E-409C-BE32-E72D297353CC}">
              <c16:uniqueId val="{00000004-877A-49CB-A560-907E78B48CD0}"/>
            </c:ext>
          </c:extLst>
        </c:ser>
        <c:dLbls>
          <c:showLegendKey val="0"/>
          <c:showVal val="0"/>
          <c:showCatName val="0"/>
          <c:showSerName val="0"/>
          <c:showPercent val="0"/>
          <c:showBubbleSize val="0"/>
        </c:dLbls>
        <c:axId val="418576256"/>
        <c:axId val="418652544"/>
      </c:scatterChart>
      <c:valAx>
        <c:axId val="418576256"/>
        <c:scaling>
          <c:orientation val="minMax"/>
        </c:scaling>
        <c:delete val="0"/>
        <c:axPos val="b"/>
        <c:title>
          <c:tx>
            <c:rich>
              <a:bodyPr/>
              <a:lstStyle/>
              <a:p>
                <a:pPr>
                  <a:defRPr lang="fr-FR"/>
                </a:pPr>
                <a:r>
                  <a:rPr lang="fr-FR"/>
                  <a:t xml:space="preserve">Rapport couvain / abeilles</a:t>
                </a:r>
              </a:p>
            </c:rich>
          </c:tx>
          <c:overlay val="0"/>
        </c:title>
        <c:numFmt formatCode="0.0000" sourceLinked="1"/>
        <c:majorTickMark val="out"/>
        <c:minorTickMark val="none"/>
        <c:tickLblPos val="nextTo"/>
        <c:crossAx val="418652544"/>
        <c:crosses val="autoZero"/>
        <c:crossBetween val="midCat"/>
      </c:valAx>
      <c:valAx>
        <c:axId val="418652544"/>
        <c:scaling>
          <c:orientation val="minMax"/>
        </c:scaling>
        <c:delete val="0"/>
        <c:axPos val="l"/>
        <c:majorGridlines/>
        <c:title>
          <c:tx>
            <c:rich>
              <a:bodyPr rot="-5400000" vert="horz"/>
              <a:lstStyle/>
              <a:p>
                <a:pPr>
                  <a:defRPr lang="fr-FR"/>
                </a:pPr>
                <a:r>
                  <a:rPr lang="fr-FR"/>
                  <a:t xml:space="preserve">Durée phorétique moyenne, en jours</a:t>
                </a:r>
              </a:p>
            </c:rich>
          </c:tx>
          <c:overlay val="0"/>
        </c:title>
        <c:numFmt formatCode="General" sourceLinked="1"/>
        <c:majorTickMark val="out"/>
        <c:minorTickMark val="none"/>
        <c:tickLblPos val="nextTo"/>
        <c:crossAx val="418576256"/>
        <c:crosses val="autoZero"/>
        <c:crossBetween val="midCat"/>
      </c:valAx>
    </c:plotArea>
    <c:legend>
      <c:legendPos val="r"/>
      <c:overlay val="0"/>
    </c:legend>
    <c:plotVisOnly val="1"/>
    <c:dispBlanksAs val="span"/>
    <c:showDLblsOverMax val="0"/>
  </c:chart>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5.svg"/><Relationship Id="rId5" Type="http://schemas.openxmlformats.org/officeDocument/2006/relationships/image" Target="../media/image4.png"/><Relationship Id="rId4" Type="http://schemas.openxmlformats.org/officeDocument/2006/relationships/image" Target="../media/image3.sv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11" Type="http://schemas.openxmlformats.org/officeDocument/2006/relationships/image" Target="../media/image9.png"/><Relationship Id="rId5" Type="http://schemas.openxmlformats.org/officeDocument/2006/relationships/chart" Target="../charts/chart11.xml"/><Relationship Id="rId10" Type="http://schemas.openxmlformats.org/officeDocument/2006/relationships/chart" Target="../charts/chart16.xml"/><Relationship Id="rId4" Type="http://schemas.openxmlformats.org/officeDocument/2006/relationships/chart" Target="../charts/chart10.xml"/><Relationship Id="rId9"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6" Type="http://schemas.openxmlformats.org/officeDocument/2006/relationships/chart" Target="../charts/chart25.xml"/><Relationship Id="rId5" Type="http://schemas.openxmlformats.org/officeDocument/2006/relationships/chart" Target="../charts/chart24.xml"/><Relationship Id="rId4" Type="http://schemas.openxmlformats.org/officeDocument/2006/relationships/image" Target="../media/image11.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image" Target="../media/image11.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5" Type="http://schemas.openxmlformats.org/officeDocument/2006/relationships/image" Target="../media/image16.png"/><Relationship Id="rId4" Type="http://schemas.openxmlformats.org/officeDocument/2006/relationships/image" Target="../media/image15.png"/></Relationships>
</file>

<file path=xl/drawings/_rels/drawing25.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2</xdr:col>
      <xdr:colOff>355601</xdr:colOff>
      <xdr:row>3</xdr:row>
      <xdr:rowOff>237244</xdr:rowOff>
    </xdr:from>
    <xdr:to>
      <xdr:col>30</xdr:col>
      <xdr:colOff>63500</xdr:colOff>
      <xdr:row>19</xdr:row>
      <xdr:rowOff>127000</xdr:rowOff>
    </xdr:to>
    <xdr:graphicFrame macro="">
      <xdr:nvGraphicFramePr>
        <xdr:cNvPr id="12"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99218</xdr:colOff>
      <xdr:row>61</xdr:row>
      <xdr:rowOff>37042</xdr:rowOff>
    </xdr:from>
    <xdr:to>
      <xdr:col>42</xdr:col>
      <xdr:colOff>269876</xdr:colOff>
      <xdr:row>80</xdr:row>
      <xdr:rowOff>148167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66043" y="10790767"/>
          <a:ext cx="2561433" cy="318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Comme le montre le tableau de gauche, si le taux logarithmique quotidien r est abaissé à 0,002, comme dans une lignée d’abeilles très résistante aux varroas, il faudrait environ un an pour que la population de varroas d’une ruche double (sans tenir compte de l’immigration).</a:t>
          </a:r>
        </a:p>
        <a:p>
          <a:endParaRPr lang="fr-FR" sz="1100" baseline="0"/>
        </a:p>
        <a:p>
          <a:r>
            <a:rPr lang="fr-FR" sz="1100" baseline="0"/>
            <a:t xml:space="preserve">Dans toutes les lignées, le taux d’accroissement est contrebalancé par le taux de mortalité des varroas, lié au vieillissement, au toilettage, à l’émigration et aux traitements.</a:t>
          </a:r>
        </a:p>
        <a:p>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Le point essentiel est que les varroas ne peuvent augmenter que pendant les mois où la colonie élève du couvain ; le reste de l’année, seul le taux de perte des varroas s’applique. C’est pourquoi les varroas posent davantage de problèmes dans les régions aux hivers courts.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solidFill>
              <a:schemeClr val="dk1"/>
            </a:solidFill>
            <a:effectLst/>
            <a:latin typeface="+mn-lt"/>
            <a:ea typeface="+mn-ea"/>
            <a:cs typeface="+mn-cs"/>
          </a:endParaRPr>
        </a:p>
      </xdr:txBody>
    </xdr:sp>
    <xdr:clientData/>
  </xdr:twoCellAnchor>
  <xdr:twoCellAnchor>
    <xdr:from>
      <xdr:col>139</xdr:col>
      <xdr:colOff>0</xdr:colOff>
      <xdr:row>60</xdr:row>
      <xdr:rowOff>63500</xdr:rowOff>
    </xdr:from>
    <xdr:to>
      <xdr:col>157</xdr:col>
      <xdr:colOff>592665</xdr:colOff>
      <xdr:row>67</xdr:row>
      <xdr:rowOff>31750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68713350" y="10655300"/>
          <a:ext cx="11917890" cy="1101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a:t>
          </a:r>
          <a:endParaRPr lang="fr-F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De Ruijter, A (1987). Reproduction de Varroa jacobsoni au cours de cycles successifs de couvain de l’abeille mellifère. Apidologie 18(4): 321–326.</a:t>
          </a:r>
          <a:endParaRPr lang="fr-FR" sz="1100"/>
        </a:p>
        <a:p>
          <a:r>
            <a:rPr lang="fr-FR" sz="1100"/>
            <a:t xml:space="preserve">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a:t>
          </a:r>
        </a:p>
      </xdr:txBody>
    </xdr:sp>
    <xdr:clientData/>
  </xdr:twoCellAnchor>
  <xdr:oneCellAnchor>
    <xdr:from>
      <xdr:col>143</xdr:col>
      <xdr:colOff>42333</xdr:colOff>
      <xdr:row>65</xdr:row>
      <xdr:rowOff>116417</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71546508" y="115178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rmAutofit/>
        </a:bodyPr>
        <a:lstStyle/>
        <a:p>
          <a:endParaRPr lang="fr-FR" sz="1100"/>
        </a:p>
      </xdr:txBody>
    </xdr:sp>
    <xdr:clientData/>
  </xdr:oneCellAnchor>
  <xdr:twoCellAnchor>
    <xdr:from>
      <xdr:col>44</xdr:col>
      <xdr:colOff>0</xdr:colOff>
      <xdr:row>18</xdr:row>
      <xdr:rowOff>395111</xdr:rowOff>
    </xdr:from>
    <xdr:to>
      <xdr:col>48</xdr:col>
      <xdr:colOff>42333</xdr:colOff>
      <xdr:row>18</xdr:row>
      <xdr:rowOff>627944</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4267200" y="3890786"/>
          <a:ext cx="1261533"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000"/>
            <a:t xml:space="preserve">© Randy Oliver 2017</a:t>
          </a:r>
        </a:p>
      </xdr:txBody>
    </xdr:sp>
    <xdr:clientData/>
  </xdr:twoCellAnchor>
  <xdr:twoCellAnchor>
    <xdr:from>
      <xdr:col>68</xdr:col>
      <xdr:colOff>539750</xdr:colOff>
      <xdr:row>79</xdr:row>
      <xdr:rowOff>74083</xdr:rowOff>
    </xdr:from>
    <xdr:to>
      <xdr:col>75</xdr:col>
      <xdr:colOff>31750</xdr:colOff>
      <xdr:row>81</xdr:row>
      <xdr:rowOff>84667</xdr:rowOff>
    </xdr:to>
    <xdr:cxnSp macro="">
      <xdr:nvCxnSpPr>
        <xdr:cNvPr id="9" name="Straight Arrow Connector 8">
          <a:extLst>
            <a:ext uri="{FF2B5EF4-FFF2-40B4-BE49-F238E27FC236}">
              <a16:creationId xmlns:a16="http://schemas.microsoft.com/office/drawing/2014/main" id="{00000000-0008-0000-0000-000009000000}"/>
            </a:ext>
          </a:extLst>
        </xdr:cNvPr>
        <xdr:cNvCxnSpPr/>
      </xdr:nvCxnSpPr>
      <xdr:spPr>
        <a:xfrm flipH="1" flipV="1">
          <a:off x="19008725" y="13742458"/>
          <a:ext cx="4035425" cy="334434"/>
        </a:xfrm>
        <a:prstGeom prst="straightConnector1">
          <a:avLst/>
        </a:prstGeom>
        <a:ln w="190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190500</xdr:colOff>
      <xdr:row>87</xdr:row>
      <xdr:rowOff>83344</xdr:rowOff>
    </xdr:from>
    <xdr:to>
      <xdr:col>95</xdr:col>
      <xdr:colOff>451909</xdr:colOff>
      <xdr:row>107</xdr:row>
      <xdr:rowOff>98425</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0</xdr:row>
      <xdr:rowOff>14112</xdr:rowOff>
    </xdr:from>
    <xdr:to>
      <xdr:col>29</xdr:col>
      <xdr:colOff>352777</xdr:colOff>
      <xdr:row>3</xdr:row>
      <xdr:rowOff>220360</xdr:rowOff>
    </xdr:to>
    <xdr:sp macro="" textlink="">
      <xdr:nvSpPr>
        <xdr:cNvPr id="56" name="TextBox 13">
          <a:extLst>
            <a:ext uri="{FF2B5EF4-FFF2-40B4-BE49-F238E27FC236}">
              <a16:creationId xmlns:a16="http://schemas.microsoft.com/office/drawing/2014/main" id="{00000000-0008-0000-0000-00000E000000}"/>
            </a:ext>
          </a:extLst>
        </xdr:cNvPr>
        <xdr:cNvSpPr txBox="1"/>
      </xdr:nvSpPr>
      <xdr:spPr>
        <a:xfrm>
          <a:off x="183444" y="14112"/>
          <a:ext cx="10802055" cy="69308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200" b="1" baseline="0"/>
            <a:t xml:space="preserve">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a:t>
          </a:r>
          <a:endParaRPr lang="fr-FR" sz="1200" b="1"/>
        </a:p>
      </xdr:txBody>
    </xdr:sp>
    <xdr:clientData/>
  </xdr:twoCellAnchor>
  <xdr:twoCellAnchor>
    <xdr:from>
      <xdr:col>2</xdr:col>
      <xdr:colOff>0</xdr:colOff>
      <xdr:row>25</xdr:row>
      <xdr:rowOff>42333</xdr:rowOff>
    </xdr:from>
    <xdr:to>
      <xdr:col>30</xdr:col>
      <xdr:colOff>0</xdr:colOff>
      <xdr:row>29</xdr:row>
      <xdr:rowOff>112889</xdr:rowOff>
    </xdr:to>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183444" y="4903611"/>
          <a:ext cx="10999612" cy="719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 L’effondrement est indiqué lorsque la charge en varroas et en virus dépasse les capacités de la colonie. Il est plus facile et préférable de maintenir préventivement une faible infestation que de chercher à la réduire plus tard !</a:t>
          </a:r>
          <a:endParaRPr lang="fr-FR" sz="1100">
            <a:solidFill>
              <a:schemeClr val="tx1"/>
            </a:solidFill>
          </a:endParaRPr>
        </a:p>
      </xdr:txBody>
    </xdr:sp>
    <xdr:clientData/>
  </xdr:twoCellAnchor>
  <xdr:twoCellAnchor>
    <xdr:from>
      <xdr:col>15</xdr:col>
      <xdr:colOff>1</xdr:colOff>
      <xdr:row>29</xdr:row>
      <xdr:rowOff>141111</xdr:rowOff>
    </xdr:from>
    <xdr:to>
      <xdr:col>29</xdr:col>
      <xdr:colOff>345723</xdr:colOff>
      <xdr:row>34</xdr:row>
      <xdr:rowOff>134055</xdr:rowOff>
    </xdr:to>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5595057" y="5651500"/>
          <a:ext cx="5383388" cy="8043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a:t>
          </a:r>
        </a:p>
      </xdr:txBody>
    </xdr:sp>
    <xdr:clientData/>
  </xdr:twoCellAnchor>
  <xdr:twoCellAnchor>
    <xdr:from>
      <xdr:col>30</xdr:col>
      <xdr:colOff>253998</xdr:colOff>
      <xdr:row>2</xdr:row>
      <xdr:rowOff>119942</xdr:rowOff>
    </xdr:from>
    <xdr:to>
      <xdr:col>51</xdr:col>
      <xdr:colOff>239889</xdr:colOff>
      <xdr:row>30</xdr:row>
      <xdr:rowOff>77610</xdr:rowOff>
    </xdr:to>
    <xdr:sp macro="" textlink="">
      <xdr:nvSpPr>
        <xdr:cNvPr id="51" name="TextBox 19">
          <a:extLst>
            <a:ext uri="{FF2B5EF4-FFF2-40B4-BE49-F238E27FC236}">
              <a16:creationId xmlns:a16="http://schemas.microsoft.com/office/drawing/2014/main" id="{00000000-0008-0000-0000-000014000000}"/>
            </a:ext>
          </a:extLst>
        </xdr:cNvPr>
        <xdr:cNvSpPr txBox="1"/>
      </xdr:nvSpPr>
      <xdr:spPr>
        <a:xfrm>
          <a:off x="11246554" y="282220"/>
          <a:ext cx="7450668" cy="546805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 Ce modèle a été confirmé par les données de comptage par lavage à l’alcool de ma propre exploitation commerciale, ainsi que par les retours d’apiculteurs du monde entier.</a:t>
          </a:r>
        </a:p>
        <a:p>
          <a:endParaRPr lang="fr-FR" sz="1100" baseline="0"/>
        </a:p>
        <a:p>
          <a:r>
            <a:rPr lang="fr-FR" sz="1100" baseline="0">
              <a:solidFill>
                <a:schemeClr val="dk1"/>
              </a:solidFill>
              <a:effectLst/>
              <a:latin typeface="+mn-lt"/>
              <a:ea typeface="+mn-ea"/>
              <a:cs typeface="+mn-cs"/>
            </a:rPr>
            <a:t xml:space="preserve">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a:t>
          </a:r>
        </a:p>
        <a:p>
          <a:endParaRPr lang="fr-FR" sz="1100"/>
        </a:p>
        <a:p>
          <a:r>
            <a:rPr lang="fr-FR" sz="1100" b="1"/>
            <a:t xml:space="preserve">Hypothèses de base, ajustements et calculs des taux logarithmiques quotidiens r</a:t>
          </a:r>
        </a:p>
        <a:p>
          <a:endParaRPr lang="fr-FR" sz="1100"/>
        </a:p>
        <a:p>
          <a:r>
            <a:rPr lang="fr-FR" sz="1100"/>
            <a:t xml:space="preserve">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a:t>
          </a:r>
        </a:p>
        <a:p>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a:t xml:space="preserve">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 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Je mets ce modèle à la disposition de la communauté apicole et scientifique et accueille volontiers les suggestions d’amélioration. Le mot de passe est sb, mais veillez à enregistrer une copie avant de le modifier !</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Randy Oliver</a:t>
          </a:r>
          <a:endParaRPr lang="fr-FR" sz="1100"/>
        </a:p>
      </xdr:txBody>
    </xdr:sp>
    <xdr:clientData/>
  </xdr:twoCellAnchor>
  <xdr:twoCellAnchor>
    <xdr:from>
      <xdr:col>9</xdr:col>
      <xdr:colOff>169687</xdr:colOff>
      <xdr:row>3</xdr:row>
      <xdr:rowOff>390524</xdr:rowOff>
    </xdr:from>
    <xdr:to>
      <xdr:col>22</xdr:col>
      <xdr:colOff>70555</xdr:colOff>
      <xdr:row>3</xdr:row>
      <xdr:rowOff>971549</xdr:rowOff>
    </xdr:to>
    <xdr:sp macro="" textlink="">
      <xdr:nvSpPr>
        <xdr:cNvPr id="47" name="TextBox 1">
          <a:extLst>
            <a:ext uri="{FF2B5EF4-FFF2-40B4-BE49-F238E27FC236}">
              <a16:creationId xmlns:a16="http://schemas.microsoft.com/office/drawing/2014/main" id="{00000000-0008-0000-0000-000002000000}"/>
            </a:ext>
          </a:extLst>
        </xdr:cNvPr>
        <xdr:cNvSpPr txBox="1"/>
      </xdr:nvSpPr>
      <xdr:spPr>
        <a:xfrm>
          <a:off x="3387020" y="866774"/>
          <a:ext cx="430353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lvl="0" indent="0" defTabSz="914400" eaLnBrk="1" fontAlgn="auto" latinLnBrk="0" hangingPunct="1">
            <a:lnSpc>
              <a:spcPct val="100000"/>
            </a:lnSpc>
            <a:spcBef>
              <a:spcPts val="0"/>
            </a:spcBef>
            <a:spcAft>
              <a:spcPts val="0"/>
            </a:spcAft>
            <a:buClrTx/>
            <a:buSzTx/>
            <a:buFontTx/>
            <a:buNone/>
            <a:tabLst/>
            <a:defRPr lang="fr-FR"/>
          </a:pPr>
          <a:r>
            <a:rPr lang="fr-FR" sz="1100"/>
            <a:t xml:space="preserve">Version 2025A. Ce modèle est en cours d’élaboration : veillez à utiliser la version la plus récente ! © ScientificBeekeeping</a:t>
          </a:r>
          <a:endParaRPr lang="fr-FR">
            <a:effectLst/>
          </a:endParaRPr>
        </a:p>
        <a:p>
          <a:endParaRPr lang="fr-FR" sz="1100"/>
        </a:p>
      </xdr:txBody>
    </xdr:sp>
    <xdr:clientData/>
  </xdr:twoCellAnchor>
  <xdr:twoCellAnchor>
    <xdr:from>
      <xdr:col>14</xdr:col>
      <xdr:colOff>345723</xdr:colOff>
      <xdr:row>35</xdr:row>
      <xdr:rowOff>42332</xdr:rowOff>
    </xdr:from>
    <xdr:to>
      <xdr:col>31</xdr:col>
      <xdr:colOff>402167</xdr:colOff>
      <xdr:row>65</xdr:row>
      <xdr:rowOff>112889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580945" y="6526388"/>
          <a:ext cx="6173611" cy="5108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solidFill>
                <a:srgbClr val="FF0000"/>
              </a:solidFill>
              <a:effectLst/>
              <a:latin typeface="+mn-lt"/>
              <a:ea typeface="+mn-ea"/>
              <a:cs typeface="+mn-cs"/>
            </a:rPr>
            <a:t xml:space="preserve">Réductions attendues des varroas selon l’option de traitement :
95 % : acaricide de synthèse très efficace, tel que l’amitraz (Apivar), appliqué sur plusieurs semaines. Son action n’est pas rapide ; il vaut donc mieux l’appliquer de façon anticipée, tôt dans la saison.
90 % : deux traitements de 50 g d’Apiguard (ou trois d’Apilife Var), à 10 jours d’intervalle, dans une rehausse. À utiliser de préférence en août, car le thymol réduit l’élevage du couvain.</a:t>
          </a:r>
        </a:p>
        <a:p>
          <a:r>
            <a:rPr lang="fr-FR" sz="1100">
              <a:solidFill>
                <a:schemeClr val="dk1"/>
              </a:solidFill>
              <a:effectLst/>
              <a:latin typeface="+mn-lt"/>
              <a:ea typeface="+mn-ea"/>
              <a:cs typeface="+mn-cs"/>
            </a:rPr>
            <a:t xml:space="preserve">70–90 % (parfois moins) : 2 bandes MAQS ou Formic Pro, ou un traitement fort à l’acide formique (libération progressive ou traitement flash puissant). Meilleur traitement pour faire chuter rapidement les varroas par temps chaud. Peut être utilisé pendant la miellée.</a:t>
          </a:r>
        </a:p>
        <a:p>
          <a:r>
            <a:rPr lang="fr-FR" sz="1100">
              <a:solidFill>
                <a:srgbClr val="FF0000"/>
              </a:solidFill>
              <a:effectLst/>
              <a:latin typeface="+mn-lt"/>
              <a:ea typeface="+mn-ea"/>
              <a:cs typeface="+mn-cs"/>
            </a:rPr>
            <a:t xml:space="preserve">50 % (environ) : 1 bande MAQS ou Formic Pro, ou un traitement unique de faible intensité à l’acide formique pour une réduction rapide. Cette réduction rapide permet de gagner du temps et ménage davantage la reine.</a:t>
          </a:r>
        </a:p>
        <a:p>
          <a:r>
            <a:rPr lang="fr-FR" sz="1100">
              <a:solidFill>
                <a:schemeClr val="dk1"/>
              </a:solidFill>
              <a:effectLst/>
              <a:latin typeface="+mn-lt"/>
              <a:ea typeface="+mn-ea"/>
              <a:cs typeface="+mn-cs"/>
            </a:rPr>
            <a:t xml:space="preserve">80–90 % : Hopguard 3 si la colonie est sans couvain ; des applications répétées seraient nécessaires en présence de couvain. Peut être utilisé pendant la miellée.</a:t>
          </a:r>
          <a:endParaRPr lang="fr-FR" sz="1100">
            <a:solidFill>
              <a:srgbClr val="FF0000"/>
            </a:solidFill>
            <a:effectLst/>
            <a:latin typeface="+mn-lt"/>
            <a:ea typeface="+mn-ea"/>
            <a:cs typeface="+mn-cs"/>
          </a:endParaRPr>
        </a:p>
        <a:p>
          <a:r>
            <a:rPr lang="fr-FR" sz="1100" b="0">
              <a:solidFill>
                <a:schemeClr val="dk1"/>
              </a:solidFill>
              <a:effectLst/>
              <a:latin typeface="+mn-lt"/>
              <a:ea typeface="+mn-ea"/>
              <a:cs typeface="+mn-cs"/>
            </a:rPr>
            <a:t xml:space="preserve">25 % : un seul saupoudrage de sucre glace, en supposant la chute de 50 % des varroas phorétiques. Nécessite des applications multiples et continues.
15–20 % : retrait complet du couvain de mâles, s’il est effectué tôt dans la saison, pour chaque retrait. Procure une certaine réduction, mais demande beaucoup de travail.
80–95 % : acide oxalique par dégouttement ou sublimation en l’absence de couvain. Excellente réduction lorsque la colonie n’a pas de couvain, à la suite d’une rupture naturelle ou provoquée.
70 % : deux sublimations d’acide oxalique dans une ruche contenant du couvain, proportionnellement au pourcentage de varroas phorétiques. Réduction limitée lorsque les colonies contiennent du couvain.
85 %, 3 fois : éponges à l’acide oxalique et à la glycérine à libération prolongée ; pour le résultat final à 60 jours, saisir 45 % sur quatre périodes consécutives, à partir du moment de l’application. Peut être utilisé pendant la miellée.</a:t>
          </a:r>
          <a:endParaRPr lang="fr-FR" sz="1100" b="1">
            <a:solidFill>
              <a:srgbClr val="FF0000"/>
            </a:solidFill>
            <a:effectLst/>
            <a:latin typeface="+mn-lt"/>
            <a:ea typeface="+mn-ea"/>
            <a:cs typeface="+mn-cs"/>
          </a:endParaRPr>
        </a:p>
        <a:p>
          <a:endParaRPr lang="fr-FR" sz="1100" b="1">
            <a:solidFill>
              <a:srgbClr val="FF0000"/>
            </a:solidFill>
            <a:effectLst/>
            <a:latin typeface="+mn-lt"/>
            <a:ea typeface="+mn-ea"/>
            <a:cs typeface="+mn-cs"/>
          </a:endParaRPr>
        </a:p>
        <a:p>
          <a:r>
            <a:rPr lang="fr-FR" sz="1100" baseline="0">
              <a:solidFill>
                <a:schemeClr val="dk1"/>
              </a:solidFill>
              <a:effectLst/>
              <a:latin typeface="+mn-lt"/>
              <a:ea typeface="+mn-ea"/>
              <a:cs typeface="+mn-cs"/>
            </a:rPr>
            <a:t xml:space="preserve">Environ 30 % : émission d’un essaim primaire au printemps. Hypothèses : 80 % des varroas dans le couvain, départ de 70 % des ouvrières, rupture de couvain de 14 jours.</a:t>
          </a:r>
        </a:p>
        <a:p>
          <a:pPr marL="0" marR="0" lvl="0" indent="0" defTabSz="914400" eaLnBrk="1" fontAlgn="auto" latinLnBrk="0" hangingPunct="1">
            <a:lnSpc>
              <a:spcPct val="100000"/>
            </a:lnSpc>
            <a:spcBef>
              <a:spcPts val="0"/>
            </a:spcBef>
            <a:spcAft>
              <a:spcPts val="0"/>
            </a:spcAft>
            <a:buClrTx/>
            <a:buSzTx/>
            <a:buFontTx/>
            <a:buNone/>
            <a:tabLst/>
            <a:defRPr lang="fr-FR"/>
          </a:pPr>
          <a:r>
            <a:rPr lang="fr-FR" sz="1200" b="1" baseline="0">
              <a:solidFill>
                <a:srgbClr val="0070C0"/>
              </a:solidFill>
              <a:effectLst/>
              <a:latin typeface="+mn-lt"/>
              <a:ea typeface="+mn-ea"/>
              <a:cs typeface="+mn-cs"/>
            </a:rPr>
            <a:t xml:space="preserve">Environ 50–55 % : rupture de couvain provoquée par le retrait de la reine ou par une division sans introduction de reine (« walkaway split »). On suppose une rupture de couvain de 26 jours. Très efficace si elle est associée à un dégouttement d’acide oxalique.</a:t>
          </a:r>
          <a:endParaRPr lang="fr-FR">
            <a:solidFill>
              <a:srgbClr val="FF0000"/>
            </a:solidFill>
            <a:effectLst/>
          </a:endParaRPr>
        </a:p>
        <a:p>
          <a:endParaRPr lang="fr-FR" sz="1100" b="0">
            <a:solidFill>
              <a:schemeClr val="tx1"/>
            </a:solidFill>
          </a:endParaRPr>
        </a:p>
      </xdr:txBody>
    </xdr:sp>
    <xdr:clientData/>
  </xdr:twoCellAnchor>
  <xdr:twoCellAnchor editAs="oneCell">
    <xdr:from>
      <xdr:col>6</xdr:col>
      <xdr:colOff>225781</xdr:colOff>
      <xdr:row>52</xdr:row>
      <xdr:rowOff>75847</xdr:rowOff>
    </xdr:from>
    <xdr:to>
      <xdr:col>14</xdr:col>
      <xdr:colOff>324558</xdr:colOff>
      <xdr:row>65</xdr:row>
      <xdr:rowOff>118180</xdr:rowOff>
    </xdr:to>
    <xdr:pic>
      <xdr:nvPicPr>
        <xdr:cNvPr id="11" name="Graphic 10">
          <a:extLst>
            <a:ext uri="{FF2B5EF4-FFF2-40B4-BE49-F238E27FC236}">
              <a16:creationId xmlns:a16="http://schemas.microsoft.com/office/drawing/2014/main" id="{328BA262-15D5-5AA2-AF18-C48319B9271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2607031" y="9803695"/>
          <a:ext cx="3062110" cy="2176639"/>
        </a:xfrm>
        <a:prstGeom prst="rect">
          <a:avLst/>
        </a:prstGeom>
      </xdr:spPr>
    </xdr:pic>
    <xdr:clientData/>
  </xdr:twoCellAnchor>
  <xdr:twoCellAnchor editAs="oneCell">
    <xdr:from>
      <xdr:col>1</xdr:col>
      <xdr:colOff>84666</xdr:colOff>
      <xdr:row>65</xdr:row>
      <xdr:rowOff>144197</xdr:rowOff>
    </xdr:from>
    <xdr:to>
      <xdr:col>18</xdr:col>
      <xdr:colOff>264582</xdr:colOff>
      <xdr:row>92</xdr:row>
      <xdr:rowOff>15875</xdr:rowOff>
    </xdr:to>
    <xdr:pic>
      <xdr:nvPicPr>
        <xdr:cNvPr id="2" name="Graphic 1">
          <a:extLst>
            <a:ext uri="{FF2B5EF4-FFF2-40B4-BE49-F238E27FC236}">
              <a16:creationId xmlns:a16="http://schemas.microsoft.com/office/drawing/2014/main" id="{7139556A-64A8-16A9-AEEA-93EFCEF5B879}"/>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84666" y="12230364"/>
          <a:ext cx="6926792" cy="5195094"/>
        </a:xfrm>
        <a:prstGeom prst="rect">
          <a:avLst/>
        </a:prstGeom>
      </xdr:spPr>
    </xdr:pic>
    <xdr:clientData/>
  </xdr:twoCellAnchor>
  <xdr:twoCellAnchor>
    <xdr:from>
      <xdr:col>0</xdr:col>
      <xdr:colOff>176389</xdr:colOff>
      <xdr:row>3</xdr:row>
      <xdr:rowOff>299861</xdr:rowOff>
    </xdr:from>
    <xdr:to>
      <xdr:col>1</xdr:col>
      <xdr:colOff>114653</xdr:colOff>
      <xdr:row>20</xdr:row>
      <xdr:rowOff>97013</xdr:rowOff>
    </xdr:to>
    <xdr:sp macro="" textlink="">
      <xdr:nvSpPr>
        <xdr:cNvPr id="13" name="Arrow: Down 12">
          <a:extLst>
            <a:ext uri="{FF2B5EF4-FFF2-40B4-BE49-F238E27FC236}">
              <a16:creationId xmlns:a16="http://schemas.microsoft.com/office/drawing/2014/main" id="{80D8A9F9-7947-EF21-2798-935120172E23}"/>
            </a:ext>
          </a:extLst>
        </xdr:cNvPr>
        <xdr:cNvSpPr/>
      </xdr:nvSpPr>
      <xdr:spPr>
        <a:xfrm>
          <a:off x="176389" y="793750"/>
          <a:ext cx="573264" cy="3527778"/>
        </a:xfrm>
        <a:prstGeom prst="downArrow">
          <a:avLst>
            <a:gd name="adj1" fmla="val 62308"/>
            <a:gd name="adj2" fmla="val 46923"/>
          </a:avLst>
        </a:prstGeom>
        <a:solidFill>
          <a:srgbClr val="B8FA26"/>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270" lIns="0" tIns="0" rIns="0" bIns="0" rtlCol="0" anchor="ctr" wrap="square">
          <a:normAutofit/>
        </a:bodyPr>
        <a:lstStyle/>
        <a:p>
          <a:pPr algn="ctr"/>
          <a:r>
            <a:rPr lang="fr-FR" sz="1600" b="1">
              <a:solidFill>
                <a:schemeClr val="tx1"/>
              </a:solidFill>
            </a:rPr>
            <a:t xml:space="preserve">Faites défiler vers le bas pour davantage de détails</a:t>
          </a:r>
        </a:p>
      </xdr:txBody>
    </xdr:sp>
    <xdr:clientData/>
  </xdr:twoCellAnchor>
  <xdr:twoCellAnchor editAs="oneCell">
    <xdr:from>
      <xdr:col>19</xdr:col>
      <xdr:colOff>89958</xdr:colOff>
      <xdr:row>66</xdr:row>
      <xdr:rowOff>19191</xdr:rowOff>
    </xdr:from>
    <xdr:to>
      <xdr:col>33</xdr:col>
      <xdr:colOff>96703</xdr:colOff>
      <xdr:row>82</xdr:row>
      <xdr:rowOff>52916</xdr:rowOff>
    </xdr:to>
    <xdr:pic>
      <xdr:nvPicPr>
        <xdr:cNvPr id="15" name="Picture 14">
          <a:extLst>
            <a:ext uri="{FF2B5EF4-FFF2-40B4-BE49-F238E27FC236}">
              <a16:creationId xmlns:a16="http://schemas.microsoft.com/office/drawing/2014/main" id="{43E151B6-2150-1AA1-39F3-6E7CC051A8EB}"/>
            </a:ext>
          </a:extLst>
        </xdr:cNvPr>
        <xdr:cNvPicPr>
          <a:picLocks noChangeAspect="1"/>
        </xdr:cNvPicPr>
      </xdr:nvPicPr>
      <xdr:blipFill>
        <a:blip xmlns:r="http://schemas.openxmlformats.org/officeDocument/2006/relationships" r:embed="rId7"/>
        <a:stretch>
          <a:fillRect/>
        </a:stretch>
      </xdr:blipFill>
      <xdr:spPr>
        <a:xfrm>
          <a:off x="7836958" y="12274691"/>
          <a:ext cx="5510078" cy="2706017"/>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860909" y="1773800"/>
          <a:ext cx="780635" cy="2615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dr:relSizeAnchor xmlns:cdr="http://schemas.openxmlformats.org/drawingml/2006/chartDrawing">
    <cdr:from>
      <cdr:x>0.00527</cdr:x>
      <cdr:y>0.79712</cdr:y>
    </cdr:from>
    <cdr:to>
      <cdr:x>0.0716</cdr:x>
      <cdr:y>0.95059</cdr:y>
    </cdr:to>
    <cdr:sp macro="" textlink="">
      <cdr:nvSpPr>
        <cdr:cNvPr id="2" name="TextBox 1"/>
        <cdr:cNvSpPr txBox="1"/>
      </cdr:nvSpPr>
      <cdr:spPr>
        <a:xfrm xmlns:a="http://schemas.openxmlformats.org/drawingml/2006/main">
          <a:off x="56410" y="2572328"/>
          <a:ext cx="709480" cy="4952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solidFill>
                <a:srgbClr val="FF0000"/>
              </a:solidFill>
            </a:rPr>
            <a:t xml:space="preserve">Varroas au départ</a:t>
          </a:r>
          <a:endParaRPr lang="fr-FR" sz="1100" b="1">
            <a:solidFill>
              <a:srgbClr val="FF0000"/>
            </a:solidFill>
          </a:endParaRPr>
        </a:p>
      </cdr:txBody>
    </cdr:sp>
  </cdr:relSizeAnchor>
  <cdr:relSizeAnchor xmlns:cdr="http://schemas.openxmlformats.org/drawingml/2006/chartDrawing">
    <cdr:from>
      <cdr:x>0.93368</cdr:x>
      <cdr:y>0.80131</cdr:y>
    </cdr:from>
    <cdr:to>
      <cdr:x>1</cdr:x>
      <cdr:y>0.95478</cdr:y>
    </cdr:to>
    <cdr:sp macro="" textlink="">
      <cdr:nvSpPr>
        <cdr:cNvPr id="4" name="TextBox 1"/>
        <cdr:cNvSpPr txBox="1"/>
      </cdr:nvSpPr>
      <cdr:spPr>
        <a:xfrm xmlns:a="http://schemas.openxmlformats.org/drawingml/2006/main">
          <a:off x="9986849" y="2585846"/>
          <a:ext cx="709373" cy="4952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lang="fr-FR">
              <a:latin typeface="+mn-lt"/>
              <a:ea typeface="+mn-ea"/>
              <a:cs typeface="+mn-cs"/>
            </a:defRPr>
          </a:lvl1pPr>
          <a:lvl2pPr marL="457200" indent="0">
            <a:defRPr sz="1100" lang="fr-FR">
              <a:latin typeface="+mn-lt"/>
              <a:ea typeface="+mn-ea"/>
              <a:cs typeface="+mn-cs"/>
            </a:defRPr>
          </a:lvl2pPr>
          <a:lvl3pPr marL="914400" indent="0">
            <a:defRPr sz="1100" lang="fr-FR">
              <a:latin typeface="+mn-lt"/>
              <a:ea typeface="+mn-ea"/>
              <a:cs typeface="+mn-cs"/>
            </a:defRPr>
          </a:lvl3pPr>
          <a:lvl4pPr marL="1371600" indent="0">
            <a:defRPr sz="1100" lang="fr-FR">
              <a:latin typeface="+mn-lt"/>
              <a:ea typeface="+mn-ea"/>
              <a:cs typeface="+mn-cs"/>
            </a:defRPr>
          </a:lvl4pPr>
          <a:lvl5pPr marL="1828800" indent="0">
            <a:defRPr sz="1100" lang="fr-FR">
              <a:latin typeface="+mn-lt"/>
              <a:ea typeface="+mn-ea"/>
              <a:cs typeface="+mn-cs"/>
            </a:defRPr>
          </a:lvl5pPr>
          <a:lvl6pPr marL="2286000" indent="0">
            <a:defRPr sz="1100" lang="fr-FR">
              <a:latin typeface="+mn-lt"/>
              <a:ea typeface="+mn-ea"/>
              <a:cs typeface="+mn-cs"/>
            </a:defRPr>
          </a:lvl6pPr>
          <a:lvl7pPr marL="2743200" indent="0">
            <a:defRPr sz="1100" lang="fr-FR">
              <a:latin typeface="+mn-lt"/>
              <a:ea typeface="+mn-ea"/>
              <a:cs typeface="+mn-cs"/>
            </a:defRPr>
          </a:lvl7pPr>
          <a:lvl8pPr marL="3200400" indent="0">
            <a:defRPr sz="1100" lang="fr-FR">
              <a:latin typeface="+mn-lt"/>
              <a:ea typeface="+mn-ea"/>
              <a:cs typeface="+mn-cs"/>
            </a:defRPr>
          </a:lvl8pPr>
          <a:lvl9pPr marL="3657600" indent="0">
            <a:defRPr sz="1100" lang="fr-FR">
              <a:latin typeface="+mn-lt"/>
              <a:ea typeface="+mn-ea"/>
              <a:cs typeface="+mn-cs"/>
            </a:defRPr>
          </a:lvl9pPr>
        </a:lstStyle>
        <a:p xmlns:a="http://schemas.openxmlformats.org/drawingml/2006/main">
          <a:r>
            <a:rPr lang="fr-FR" sz="1100" b="1">
              <a:solidFill>
                <a:srgbClr val="FF0000"/>
              </a:solidFill>
            </a:rPr>
            <a:t xml:space="preserve">Varroas en fin de simulation</a:t>
          </a:r>
          <a:endParaRPr lang="fr-FR" sz="1100" b="1">
            <a:solidFill>
              <a:srgbClr val="FF0000"/>
            </a:solidFill>
          </a:endParaRPr>
        </a:p>
      </cdr:txBody>
    </cdr:sp>
  </cdr:relSizeAnchor>
  <cdr:relSizeAnchor xmlns:cdr="http://schemas.openxmlformats.org/drawingml/2006/chartDrawing">
    <cdr:from>
      <cdr:x>0.0874</cdr:x>
      <cdr:y>0.04602</cdr:y>
    </cdr:from>
    <cdr:to>
      <cdr:x>0.2756</cdr:x>
      <cdr:y>0.44806</cdr:y>
    </cdr:to>
    <cdr:pic>
      <cdr:nvPicPr>
        <cdr:cNvPr id="5" name="Picture 4">
          <a:extLst xmlns:a="http://schemas.openxmlformats.org/drawingml/2006/main">
            <a:ext uri="{FF2B5EF4-FFF2-40B4-BE49-F238E27FC236}">
              <a16:creationId xmlns:a16="http://schemas.microsoft.com/office/drawing/2014/main" id="{106E6D46-6DC8-3C09-202D-FC5C5C16B3E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76300" y="156633"/>
          <a:ext cx="1887029" cy="1368301"/>
        </a:xfrm>
        <a:prstGeom xmlns:a="http://schemas.openxmlformats.org/drawingml/2006/main" prst="rect">
          <a:avLst/>
        </a:prstGeom>
        <a:ln xmlns:a="http://schemas.openxmlformats.org/drawingml/2006/main">
          <a:solidFill>
            <a:schemeClr val="tx1"/>
          </a:solidFill>
        </a:ln>
      </cdr:spPr>
    </cdr:pic>
  </cdr:relSizeAnchor>
</c:userShapes>
</file>

<file path=xl/drawings/drawing3.xml><?xml version="1.0" encoding="utf-8"?>
<xdr:wsDr xmlns:xdr="http://schemas.openxmlformats.org/drawingml/2006/spreadsheetDrawing" xmlns:a="http://schemas.openxmlformats.org/drawingml/2006/main">
  <xdr:twoCellAnchor>
    <xdr:from>
      <xdr:col>1</xdr:col>
      <xdr:colOff>317501</xdr:colOff>
      <xdr:row>3</xdr:row>
      <xdr:rowOff>237244</xdr:rowOff>
    </xdr:from>
    <xdr:to>
      <xdr:col>29</xdr:col>
      <xdr:colOff>25400</xdr:colOff>
      <xdr:row>19</xdr:row>
      <xdr:rowOff>142875</xdr:rowOff>
    </xdr:to>
    <xdr:graphicFrame macro="">
      <xdr:nvGraphicFramePr>
        <xdr:cNvPr id="2" name="Chart 1">
          <a:extLst>
            <a:ext uri="{FF2B5EF4-FFF2-40B4-BE49-F238E27FC236}">
              <a16:creationId xmlns:a16="http://schemas.microsoft.com/office/drawing/2014/main" id="{DEFB4AE4-17A6-4B12-AA73-1EDEBD52CB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34</xdr:col>
      <xdr:colOff>99218</xdr:colOff>
      <xdr:row>61</xdr:row>
      <xdr:rowOff>37042</xdr:rowOff>
    </xdr:from>
    <xdr:to>
      <xdr:col>41</xdr:col>
      <xdr:colOff>269876</xdr:colOff>
      <xdr:row>80</xdr:row>
      <xdr:rowOff>148167</xdr:rowOff>
    </xdr:to>
    <xdr:sp macro="" textlink="">
      <xdr:nvSpPr>
        <xdr:cNvPr id="3" name="TextBox 2">
          <a:extLst>
            <a:ext uri="{FF2B5EF4-FFF2-40B4-BE49-F238E27FC236}">
              <a16:creationId xmlns:a16="http://schemas.microsoft.com/office/drawing/2014/main" id="{674B7D46-E69A-4BD8-A742-64513C08D280}"/>
            </a:ext>
          </a:extLst>
        </xdr:cNvPr>
        <xdr:cNvSpPr txBox="1"/>
      </xdr:nvSpPr>
      <xdr:spPr>
        <a:xfrm>
          <a:off x="12586493" y="11047942"/>
          <a:ext cx="2561433" cy="3187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Comme le montre le tableau de gauche, si le taux logarithmique quotidien r est abaissé à 0,002, comme dans une lignée d’abeilles très résistante aux varroas, il faudrait environ un an pour que la population de varroas d’une ruche double (sans tenir compte de l’immigration).</a:t>
          </a:r>
        </a:p>
        <a:p>
          <a:endParaRPr lang="fr-FR" sz="1100" baseline="0"/>
        </a:p>
        <a:p>
          <a:r>
            <a:rPr lang="fr-FR" sz="1100" baseline="0"/>
            <a:t xml:space="preserve">Dans toutes les lignées, le taux d’accroissement est contrebalancé par le taux de mortalité des varroas, lié au vieillissement, au toilettage, à l’émigration et aux traitements.</a:t>
          </a:r>
        </a:p>
        <a:p>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Le point essentiel est que les varroas ne peuvent augmenter que pendant les mois où la colonie élève du couvain ; le reste de l’année, seul le taux de perte des varroas s’applique. C’est pourquoi les varroas posent davantage de problèmes dans les régions aux hivers courts.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solidFill>
              <a:schemeClr val="dk1"/>
            </a:solidFill>
            <a:effectLst/>
            <a:latin typeface="+mn-lt"/>
            <a:ea typeface="+mn-ea"/>
            <a:cs typeface="+mn-cs"/>
          </a:endParaRPr>
        </a:p>
      </xdr:txBody>
    </xdr:sp>
    <xdr:clientData/>
  </xdr:twoCellAnchor>
  <xdr:twoCellAnchor>
    <xdr:from>
      <xdr:col>138</xdr:col>
      <xdr:colOff>0</xdr:colOff>
      <xdr:row>60</xdr:row>
      <xdr:rowOff>63500</xdr:rowOff>
    </xdr:from>
    <xdr:to>
      <xdr:col>156</xdr:col>
      <xdr:colOff>592665</xdr:colOff>
      <xdr:row>67</xdr:row>
      <xdr:rowOff>31750</xdr:rowOff>
    </xdr:to>
    <xdr:sp macro="" textlink="">
      <xdr:nvSpPr>
        <xdr:cNvPr id="4" name="TextBox 3">
          <a:extLst>
            <a:ext uri="{FF2B5EF4-FFF2-40B4-BE49-F238E27FC236}">
              <a16:creationId xmlns:a16="http://schemas.microsoft.com/office/drawing/2014/main" id="{F6F90D81-9830-4049-850B-23CEEF987B58}"/>
            </a:ext>
          </a:extLst>
        </xdr:cNvPr>
        <xdr:cNvSpPr txBox="1"/>
      </xdr:nvSpPr>
      <xdr:spPr>
        <a:xfrm>
          <a:off x="82162650" y="10912475"/>
          <a:ext cx="11955990" cy="1101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a:t>
          </a:r>
          <a:endParaRPr lang="fr-F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De Ruijter, A (1987). Reproduction de Varroa jacobsoni au cours de cycles successifs de couvain de l’abeille mellifère. Apidologie 18(4): 321–326.</a:t>
          </a:r>
          <a:endParaRPr lang="fr-FR" sz="1100"/>
        </a:p>
        <a:p>
          <a:r>
            <a:rPr lang="fr-FR" sz="1100"/>
            <a:t xml:space="preserve">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a:t>
          </a:r>
        </a:p>
      </xdr:txBody>
    </xdr:sp>
    <xdr:clientData/>
  </xdr:twoCellAnchor>
  <xdr:oneCellAnchor>
    <xdr:from>
      <xdr:col>142</xdr:col>
      <xdr:colOff>42333</xdr:colOff>
      <xdr:row>65</xdr:row>
      <xdr:rowOff>116417</xdr:rowOff>
    </xdr:from>
    <xdr:ext cx="184731" cy="264560"/>
    <xdr:sp macro="" textlink="">
      <xdr:nvSpPr>
        <xdr:cNvPr id="5" name="TextBox 4">
          <a:extLst>
            <a:ext uri="{FF2B5EF4-FFF2-40B4-BE49-F238E27FC236}">
              <a16:creationId xmlns:a16="http://schemas.microsoft.com/office/drawing/2014/main" id="{89427985-0EEB-4E3A-833D-A310F39249E6}"/>
            </a:ext>
          </a:extLst>
        </xdr:cNvPr>
        <xdr:cNvSpPr txBox="1"/>
      </xdr:nvSpPr>
      <xdr:spPr>
        <a:xfrm>
          <a:off x="85033908" y="117750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rmAutofit/>
        </a:bodyPr>
        <a:lstStyle/>
        <a:p>
          <a:endParaRPr lang="fr-FR" sz="1100"/>
        </a:p>
      </xdr:txBody>
    </xdr:sp>
    <xdr:clientData/>
  </xdr:oneCellAnchor>
  <xdr:twoCellAnchor>
    <xdr:from>
      <xdr:col>43</xdr:col>
      <xdr:colOff>0</xdr:colOff>
      <xdr:row>18</xdr:row>
      <xdr:rowOff>395111</xdr:rowOff>
    </xdr:from>
    <xdr:to>
      <xdr:col>47</xdr:col>
      <xdr:colOff>42333</xdr:colOff>
      <xdr:row>18</xdr:row>
      <xdr:rowOff>627944</xdr:rowOff>
    </xdr:to>
    <xdr:sp macro="" textlink="">
      <xdr:nvSpPr>
        <xdr:cNvPr id="6" name="TextBox 5">
          <a:extLst>
            <a:ext uri="{FF2B5EF4-FFF2-40B4-BE49-F238E27FC236}">
              <a16:creationId xmlns:a16="http://schemas.microsoft.com/office/drawing/2014/main" id="{5E287A43-3D8F-49A9-B748-069D6906B0C7}"/>
            </a:ext>
          </a:extLst>
        </xdr:cNvPr>
        <xdr:cNvSpPr txBox="1"/>
      </xdr:nvSpPr>
      <xdr:spPr>
        <a:xfrm>
          <a:off x="15487650" y="4052711"/>
          <a:ext cx="1261533"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000"/>
            <a:t xml:space="preserve">© Randy Oliver 2017</a:t>
          </a:r>
        </a:p>
      </xdr:txBody>
    </xdr:sp>
    <xdr:clientData/>
  </xdr:twoCellAnchor>
  <xdr:twoCellAnchor>
    <xdr:from>
      <xdr:col>67</xdr:col>
      <xdr:colOff>539750</xdr:colOff>
      <xdr:row>79</xdr:row>
      <xdr:rowOff>74083</xdr:rowOff>
    </xdr:from>
    <xdr:to>
      <xdr:col>74</xdr:col>
      <xdr:colOff>31750</xdr:colOff>
      <xdr:row>81</xdr:row>
      <xdr:rowOff>84667</xdr:rowOff>
    </xdr:to>
    <xdr:cxnSp macro="">
      <xdr:nvCxnSpPr>
        <xdr:cNvPr id="7" name="Straight Arrow Connector 6">
          <a:extLst>
            <a:ext uri="{FF2B5EF4-FFF2-40B4-BE49-F238E27FC236}">
              <a16:creationId xmlns:a16="http://schemas.microsoft.com/office/drawing/2014/main" id="{8D55DB5A-D049-4B0C-92A6-08D1E16B9543}"/>
            </a:ext>
          </a:extLst>
        </xdr:cNvPr>
        <xdr:cNvCxnSpPr/>
      </xdr:nvCxnSpPr>
      <xdr:spPr>
        <a:xfrm flipH="1" flipV="1">
          <a:off x="30333950" y="13999633"/>
          <a:ext cx="4064000" cy="334434"/>
        </a:xfrm>
        <a:prstGeom prst="straightConnector1">
          <a:avLst/>
        </a:prstGeom>
        <a:ln w="190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190500</xdr:colOff>
      <xdr:row>87</xdr:row>
      <xdr:rowOff>83344</xdr:rowOff>
    </xdr:from>
    <xdr:to>
      <xdr:col>94</xdr:col>
      <xdr:colOff>451909</xdr:colOff>
      <xdr:row>107</xdr:row>
      <xdr:rowOff>98425</xdr:rowOff>
    </xdr:to>
    <xdr:graphicFrame macro="">
      <xdr:nvGraphicFramePr>
        <xdr:cNvPr id="8" name="Chart 7">
          <a:extLst>
            <a:ext uri="{FF2B5EF4-FFF2-40B4-BE49-F238E27FC236}">
              <a16:creationId xmlns:a16="http://schemas.microsoft.com/office/drawing/2014/main" id="{E820F20A-F52D-43FD-AC23-42A1F30518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0</xdr:row>
      <xdr:rowOff>14112</xdr:rowOff>
    </xdr:from>
    <xdr:to>
      <xdr:col>28</xdr:col>
      <xdr:colOff>352777</xdr:colOff>
      <xdr:row>3</xdr:row>
      <xdr:rowOff>220360</xdr:rowOff>
    </xdr:to>
    <xdr:sp macro="" textlink="">
      <xdr:nvSpPr>
        <xdr:cNvPr id="9" name="TextBox 8">
          <a:extLst>
            <a:ext uri="{FF2B5EF4-FFF2-40B4-BE49-F238E27FC236}">
              <a16:creationId xmlns:a16="http://schemas.microsoft.com/office/drawing/2014/main" id="{90FB9C2B-D397-4C3B-9640-6341D415145D}"/>
            </a:ext>
          </a:extLst>
        </xdr:cNvPr>
        <xdr:cNvSpPr txBox="1"/>
      </xdr:nvSpPr>
      <xdr:spPr>
        <a:xfrm>
          <a:off x="171450" y="14112"/>
          <a:ext cx="10296877" cy="69202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200" b="1"/>
            <a:t xml:space="preserve">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a:t>
          </a:r>
          <a:endParaRPr lang="fr-FR" sz="1200" b="1"/>
        </a:p>
      </xdr:txBody>
    </xdr:sp>
    <xdr:clientData/>
  </xdr:twoCellAnchor>
  <xdr:twoCellAnchor>
    <xdr:from>
      <xdr:col>21</xdr:col>
      <xdr:colOff>257175</xdr:colOff>
      <xdr:row>3</xdr:row>
      <xdr:rowOff>606777</xdr:rowOff>
    </xdr:from>
    <xdr:to>
      <xdr:col>26</xdr:col>
      <xdr:colOff>165804</xdr:colOff>
      <xdr:row>3</xdr:row>
      <xdr:rowOff>1104193</xdr:rowOff>
    </xdr:to>
    <xdr:sp macro="" textlink="">
      <xdr:nvSpPr>
        <xdr:cNvPr id="10" name="TextBox 9">
          <a:extLst>
            <a:ext uri="{FF2B5EF4-FFF2-40B4-BE49-F238E27FC236}">
              <a16:creationId xmlns:a16="http://schemas.microsoft.com/office/drawing/2014/main" id="{A6679993-F15A-4887-BEF9-4C12171EA791}"/>
            </a:ext>
          </a:extLst>
        </xdr:cNvPr>
        <xdr:cNvSpPr txBox="1"/>
      </xdr:nvSpPr>
      <xdr:spPr>
        <a:xfrm>
          <a:off x="7981950" y="1092552"/>
          <a:ext cx="1623129" cy="497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 ScientificBeekeeping</a:t>
          </a:r>
        </a:p>
      </xdr:txBody>
    </xdr:sp>
    <xdr:clientData/>
  </xdr:twoCellAnchor>
  <xdr:twoCellAnchor>
    <xdr:from>
      <xdr:col>1</xdr:col>
      <xdr:colOff>0</xdr:colOff>
      <xdr:row>25</xdr:row>
      <xdr:rowOff>42333</xdr:rowOff>
    </xdr:from>
    <xdr:to>
      <xdr:col>29</xdr:col>
      <xdr:colOff>0</xdr:colOff>
      <xdr:row>29</xdr:row>
      <xdr:rowOff>112889</xdr:rowOff>
    </xdr:to>
    <xdr:sp macro="" textlink="">
      <xdr:nvSpPr>
        <xdr:cNvPr id="11" name="TextBox 10">
          <a:extLst>
            <a:ext uri="{FF2B5EF4-FFF2-40B4-BE49-F238E27FC236}">
              <a16:creationId xmlns:a16="http://schemas.microsoft.com/office/drawing/2014/main" id="{124CDAB4-C6D2-472E-BEBC-38BBA4CAB328}"/>
            </a:ext>
          </a:extLst>
        </xdr:cNvPr>
        <xdr:cNvSpPr txBox="1"/>
      </xdr:nvSpPr>
      <xdr:spPr>
        <a:xfrm>
          <a:off x="171450" y="5062008"/>
          <a:ext cx="10296525" cy="7182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 L’effondrement est indiqué lorsque la charge en varroas et en virus dépasse les capacités de la colonie. Il est plus facile et préférable de maintenir préventivement une faible infestation que de chercher à la réduire plus tard !</a:t>
          </a:r>
          <a:endParaRPr lang="fr-FR" sz="1100">
            <a:solidFill>
              <a:schemeClr val="tx1"/>
            </a:solidFill>
          </a:endParaRPr>
        </a:p>
      </xdr:txBody>
    </xdr:sp>
    <xdr:clientData/>
  </xdr:twoCellAnchor>
  <xdr:twoCellAnchor>
    <xdr:from>
      <xdr:col>14</xdr:col>
      <xdr:colOff>1</xdr:colOff>
      <xdr:row>29</xdr:row>
      <xdr:rowOff>141111</xdr:rowOff>
    </xdr:from>
    <xdr:to>
      <xdr:col>28</xdr:col>
      <xdr:colOff>345723</xdr:colOff>
      <xdr:row>34</xdr:row>
      <xdr:rowOff>134055</xdr:rowOff>
    </xdr:to>
    <xdr:sp macro="" textlink="">
      <xdr:nvSpPr>
        <xdr:cNvPr id="12" name="TextBox 11">
          <a:extLst>
            <a:ext uri="{FF2B5EF4-FFF2-40B4-BE49-F238E27FC236}">
              <a16:creationId xmlns:a16="http://schemas.microsoft.com/office/drawing/2014/main" id="{E7319BAD-BFD8-4C6F-81F9-77238409F64E}"/>
            </a:ext>
          </a:extLst>
        </xdr:cNvPr>
        <xdr:cNvSpPr txBox="1"/>
      </xdr:nvSpPr>
      <xdr:spPr>
        <a:xfrm>
          <a:off x="5324476" y="5808486"/>
          <a:ext cx="5146322" cy="8025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a:t>
          </a:r>
        </a:p>
      </xdr:txBody>
    </xdr:sp>
    <xdr:clientData/>
  </xdr:twoCellAnchor>
  <xdr:twoCellAnchor>
    <xdr:from>
      <xdr:col>29</xdr:col>
      <xdr:colOff>253998</xdr:colOff>
      <xdr:row>2</xdr:row>
      <xdr:rowOff>119942</xdr:rowOff>
    </xdr:from>
    <xdr:to>
      <xdr:col>50</xdr:col>
      <xdr:colOff>239889</xdr:colOff>
      <xdr:row>30</xdr:row>
      <xdr:rowOff>77610</xdr:rowOff>
    </xdr:to>
    <xdr:sp macro="" textlink="">
      <xdr:nvSpPr>
        <xdr:cNvPr id="13" name="TextBox 12">
          <a:extLst>
            <a:ext uri="{FF2B5EF4-FFF2-40B4-BE49-F238E27FC236}">
              <a16:creationId xmlns:a16="http://schemas.microsoft.com/office/drawing/2014/main" id="{A0702164-C8AA-49C9-A7A5-234B17EE075C}"/>
            </a:ext>
          </a:extLst>
        </xdr:cNvPr>
        <xdr:cNvSpPr txBox="1"/>
      </xdr:nvSpPr>
      <xdr:spPr>
        <a:xfrm>
          <a:off x="10721973" y="443792"/>
          <a:ext cx="7139166" cy="54631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 Ce modèle a été confirmé par les données de comptage par lavage à l’alcool de ma propre exploitation commerciale, ainsi que par les retours d’apiculteurs du monde entier.</a:t>
          </a:r>
        </a:p>
        <a:p>
          <a:endParaRPr lang="fr-FR" sz="1100" baseline="0"/>
        </a:p>
        <a:p>
          <a:r>
            <a:rPr lang="fr-FR" sz="1100" baseline="0">
              <a:solidFill>
                <a:schemeClr val="dk1"/>
              </a:solidFill>
              <a:effectLst/>
              <a:latin typeface="+mn-lt"/>
              <a:ea typeface="+mn-ea"/>
              <a:cs typeface="+mn-cs"/>
            </a:rPr>
            <a:t xml:space="preserve">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a:t>
          </a:r>
        </a:p>
        <a:p>
          <a:endParaRPr lang="fr-FR" sz="1100"/>
        </a:p>
        <a:p>
          <a:r>
            <a:rPr lang="fr-FR" sz="1100" b="1"/>
            <a:t xml:space="preserve">Hypothèses de base, ajustements et calculs des taux logarithmiques quotidiens r</a:t>
          </a:r>
        </a:p>
        <a:p>
          <a:endParaRPr lang="fr-FR" sz="1100"/>
        </a:p>
        <a:p>
          <a:r>
            <a:rPr lang="fr-FR" sz="1100"/>
            <a:t xml:space="preserve">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a:t>
          </a:r>
        </a:p>
        <a:p>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a:t xml:space="preserve">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 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Je mets ce modèle à la disposition de la communauté apicole et scientifique et accueille volontiers les suggestions d’amélioration. Le mot de passe est sb, mais veillez à enregistrer une copie avant de le modifier !</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Randy Oliver</a:t>
          </a:r>
          <a:endParaRPr lang="fr-FR" sz="1100"/>
        </a:p>
      </xdr:txBody>
    </xdr:sp>
    <xdr:clientData/>
  </xdr:twoCellAnchor>
  <xdr:twoCellAnchor>
    <xdr:from>
      <xdr:col>7</xdr:col>
      <xdr:colOff>352779</xdr:colOff>
      <xdr:row>3</xdr:row>
      <xdr:rowOff>585611</xdr:rowOff>
    </xdr:from>
    <xdr:to>
      <xdr:col>20</xdr:col>
      <xdr:colOff>239889</xdr:colOff>
      <xdr:row>3</xdr:row>
      <xdr:rowOff>804333</xdr:rowOff>
    </xdr:to>
    <xdr:sp macro="" textlink="">
      <xdr:nvSpPr>
        <xdr:cNvPr id="14" name="TextBox 13">
          <a:extLst>
            <a:ext uri="{FF2B5EF4-FFF2-40B4-BE49-F238E27FC236}">
              <a16:creationId xmlns:a16="http://schemas.microsoft.com/office/drawing/2014/main" id="{E7A2898C-0C0C-4CEC-A403-D9DB496E284B}"/>
            </a:ext>
          </a:extLst>
        </xdr:cNvPr>
        <xdr:cNvSpPr txBox="1"/>
      </xdr:nvSpPr>
      <xdr:spPr>
        <a:xfrm>
          <a:off x="3267429" y="1071386"/>
          <a:ext cx="4354335" cy="218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Ce modèle est en cours d’élaboration : veillez à utiliser la version la plus récente !</a:t>
          </a:r>
        </a:p>
      </xdr:txBody>
    </xdr:sp>
    <xdr:clientData/>
  </xdr:twoCellAnchor>
  <xdr:twoCellAnchor>
    <xdr:from>
      <xdr:col>13</xdr:col>
      <xdr:colOff>345723</xdr:colOff>
      <xdr:row>35</xdr:row>
      <xdr:rowOff>42332</xdr:rowOff>
    </xdr:from>
    <xdr:to>
      <xdr:col>30</xdr:col>
      <xdr:colOff>402167</xdr:colOff>
      <xdr:row>65</xdr:row>
      <xdr:rowOff>112889</xdr:rowOff>
    </xdr:to>
    <xdr:sp macro="" textlink="">
      <xdr:nvSpPr>
        <xdr:cNvPr id="15" name="TextBox 14">
          <a:extLst>
            <a:ext uri="{FF2B5EF4-FFF2-40B4-BE49-F238E27FC236}">
              <a16:creationId xmlns:a16="http://schemas.microsoft.com/office/drawing/2014/main" id="{EFB8910E-4F4D-4419-BEEC-C5A92D89BA31}"/>
            </a:ext>
          </a:extLst>
        </xdr:cNvPr>
        <xdr:cNvSpPr txBox="1"/>
      </xdr:nvSpPr>
      <xdr:spPr>
        <a:xfrm>
          <a:off x="5327298" y="6681257"/>
          <a:ext cx="5876219" cy="5090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solidFill>
                <a:srgbClr val="FF0000"/>
              </a:solidFill>
              <a:effectLst/>
              <a:latin typeface="+mn-lt"/>
              <a:ea typeface="+mn-ea"/>
              <a:cs typeface="+mn-cs"/>
            </a:rPr>
            <a:t xml:space="preserve">Réductions attendues des varroas selon l’option de traitement :
95 % : acaricide de synthèse très efficace, tel que l’amitraz (Apivar), appliqué sur plusieurs semaines. Son action n’est pas rapide ; il vaut donc mieux l’appliquer de façon anticipée, tôt dans la saison.
90 % : deux traitements de 50 g d’Apiguard (ou trois d’Apilife Var), à 10 jours d’intervalle, dans une rehausse. À utiliser de préférence en août, car le thymol réduit l’élevage du couvain.</a:t>
          </a:r>
        </a:p>
        <a:p>
          <a:r>
            <a:rPr lang="fr-FR" sz="1100">
              <a:solidFill>
                <a:schemeClr val="dk1"/>
              </a:solidFill>
              <a:effectLst/>
              <a:latin typeface="+mn-lt"/>
              <a:ea typeface="+mn-ea"/>
              <a:cs typeface="+mn-cs"/>
            </a:rPr>
            <a:t xml:space="preserve">70–90 % (parfois moins) : 2 bandes MAQS ou Formic Pro, ou un traitement fort à l’acide formique (libération progressive ou traitement flash puissant). Meilleur traitement pour faire chuter rapidement les varroas par temps chaud. Peut être utilisé pendant la miellée.</a:t>
          </a:r>
        </a:p>
        <a:p>
          <a:r>
            <a:rPr lang="fr-FR" sz="1100">
              <a:solidFill>
                <a:srgbClr val="FF0000"/>
              </a:solidFill>
              <a:effectLst/>
              <a:latin typeface="+mn-lt"/>
              <a:ea typeface="+mn-ea"/>
              <a:cs typeface="+mn-cs"/>
            </a:rPr>
            <a:t xml:space="preserve">50 % (environ) : 1 bande MAQS ou Formic Pro, ou un traitement unique de faible intensité à l’acide formique pour une réduction rapide. Cette réduction rapide permet de gagner du temps et ménage davantage la reine.</a:t>
          </a:r>
        </a:p>
        <a:p>
          <a:r>
            <a:rPr lang="fr-FR" sz="1100">
              <a:solidFill>
                <a:schemeClr val="dk1"/>
              </a:solidFill>
              <a:effectLst/>
              <a:latin typeface="+mn-lt"/>
              <a:ea typeface="+mn-ea"/>
              <a:cs typeface="+mn-cs"/>
            </a:rPr>
            <a:t xml:space="preserve">80–90 % : Hopguard 3 si la colonie est sans couvain ; des applications répétées seraient nécessaires en présence de couvain. Peut être utilisé pendant la miellée.</a:t>
          </a:r>
          <a:endParaRPr lang="fr-FR" sz="1100">
            <a:solidFill>
              <a:srgbClr val="FF0000"/>
            </a:solidFill>
            <a:effectLst/>
            <a:latin typeface="+mn-lt"/>
            <a:ea typeface="+mn-ea"/>
            <a:cs typeface="+mn-cs"/>
          </a:endParaRPr>
        </a:p>
        <a:p>
          <a:r>
            <a:rPr lang="fr-FR" sz="1100" b="0">
              <a:solidFill>
                <a:schemeClr val="dk1"/>
              </a:solidFill>
              <a:effectLst/>
              <a:latin typeface="+mn-lt"/>
              <a:ea typeface="+mn-ea"/>
              <a:cs typeface="+mn-cs"/>
            </a:rPr>
            <a:t xml:space="preserve">25 % : un seul poudrage au sucre glace, en supposant la chute de 50 % des varroas phorétiques. Nécessite des applications répétées et poursuivies dans le temps.
15–20 % : retrait complet du couvain de mâles, réalisé tôt dans la saison, à chaque retrait. Apporte une certaine réduction, mais demande beaucoup de travail.
80–95 % : dégouttement ou sublimation d’acide oxalique en l’absence de couvain. Excellente réduction lorsque la colonie est sans couvain, à la suite d’une rupture naturelle ou provoquée.
15–45 % : un dégouttement ou une sublimation d’acide oxalique dans une ruche contenant du couvain, proportionnellement au % de varroas phorétiques. Réduction limitée lorsque les colonies contiennent du couvain.
85 %, 3 fois : éponges à libération prolongée d’acide oxalique et de glycérine ; pour le résultat final à 45 jours, saisissez 85 % pendant trois périodes consécutives à partir du moment de l’application. Pas encore homologué.</a:t>
          </a:r>
        </a:p>
        <a:p>
          <a:endParaRPr lang="fr-FR" sz="1100" b="1">
            <a:solidFill>
              <a:srgbClr val="FF0000"/>
            </a:solidFill>
            <a:effectLst/>
            <a:latin typeface="+mn-lt"/>
            <a:ea typeface="+mn-ea"/>
            <a:cs typeface="+mn-cs"/>
          </a:endParaRPr>
        </a:p>
        <a:p>
          <a:r>
            <a:rPr lang="fr-FR" sz="1100" baseline="0">
              <a:solidFill>
                <a:schemeClr val="dk1"/>
              </a:solidFill>
              <a:effectLst/>
              <a:latin typeface="+mn-lt"/>
              <a:ea typeface="+mn-ea"/>
              <a:cs typeface="+mn-cs"/>
            </a:rPr>
            <a:t xml:space="preserve">Environ 30 % : émission d’un essaim primaire au printemps. Hypothèses : 80 % des varroas dans le couvain, départ de 70 % des ouvrières, rupture de couvain de 14 jours.</a:t>
          </a:r>
        </a:p>
        <a:p>
          <a:r>
            <a:rPr lang="fr-FR" sz="1200" b="1" baseline="0">
              <a:solidFill>
                <a:srgbClr val="0070C0"/>
              </a:solidFill>
              <a:effectLst/>
              <a:latin typeface="+mn-lt"/>
              <a:ea typeface="+mn-ea"/>
              <a:cs typeface="+mn-cs"/>
            </a:rPr>
            <a:t xml:space="preserve">Environ 50–55 % : rupture de couvain provoquée par le retrait de la reine ou par une division sans introduction de reine (« walkaway split »). On suppose une rupture de couvain de 26 jours.</a:t>
          </a:r>
          <a:endParaRPr lang="fr-FR" sz="1100" b="0">
            <a:solidFill>
              <a:schemeClr val="tx1"/>
            </a:solidFill>
          </a:endParaRPr>
        </a:p>
      </xdr:txBody>
    </xdr:sp>
    <xdr:clientData/>
  </xdr:twoCellAnchor>
  <xdr:twoCellAnchor editAs="oneCell">
    <xdr:from>
      <xdr:col>14</xdr:col>
      <xdr:colOff>0</xdr:colOff>
      <xdr:row>66</xdr:row>
      <xdr:rowOff>0</xdr:rowOff>
    </xdr:from>
    <xdr:to>
      <xdr:col>36</xdr:col>
      <xdr:colOff>291623</xdr:colOff>
      <xdr:row>88</xdr:row>
      <xdr:rowOff>25499</xdr:rowOff>
    </xdr:to>
    <xdr:pic>
      <xdr:nvPicPr>
        <xdr:cNvPr id="16" name="Picture 15">
          <a:extLst>
            <a:ext uri="{FF2B5EF4-FFF2-40B4-BE49-F238E27FC236}">
              <a16:creationId xmlns:a16="http://schemas.microsoft.com/office/drawing/2014/main" id="{3037386B-ECE2-49FD-A2DA-8E33F5704B64}"/>
            </a:ext>
          </a:extLst>
        </xdr:cNvPr>
        <xdr:cNvPicPr>
          <a:picLocks noChangeAspect="1"/>
        </xdr:cNvPicPr>
      </xdr:nvPicPr>
      <xdr:blipFill>
        <a:blip xmlns:r="http://schemas.openxmlformats.org/officeDocument/2006/relationships" r:embed="rId3"/>
        <a:stretch>
          <a:fillRect/>
        </a:stretch>
      </xdr:blipFill>
      <xdr:spPr>
        <a:xfrm>
          <a:off x="5324475" y="11820525"/>
          <a:ext cx="8140223" cy="4397474"/>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860909" y="1773800"/>
          <a:ext cx="780635" cy="2615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dr:relSizeAnchor xmlns:cdr="http://schemas.openxmlformats.org/drawingml/2006/chartDrawing">
    <cdr:from>
      <cdr:x>0.00527</cdr:x>
      <cdr:y>0.79712</cdr:y>
    </cdr:from>
    <cdr:to>
      <cdr:x>0.0716</cdr:x>
      <cdr:y>0.95059</cdr:y>
    </cdr:to>
    <cdr:sp macro="" textlink="">
      <cdr:nvSpPr>
        <cdr:cNvPr id="2" name="TextBox 1"/>
        <cdr:cNvSpPr txBox="1"/>
      </cdr:nvSpPr>
      <cdr:spPr>
        <a:xfrm xmlns:a="http://schemas.openxmlformats.org/drawingml/2006/main">
          <a:off x="56410" y="2572328"/>
          <a:ext cx="709480" cy="4952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solidFill>
                <a:srgbClr val="FF0000"/>
              </a:solidFill>
            </a:rPr>
            <a:t xml:space="preserve">Varroas au départ</a:t>
          </a:r>
          <a:endParaRPr lang="fr-FR" sz="1100" b="1">
            <a:solidFill>
              <a:srgbClr val="FF0000"/>
            </a:solidFill>
          </a:endParaRPr>
        </a:p>
      </cdr:txBody>
    </cdr:sp>
  </cdr:relSizeAnchor>
  <cdr:relSizeAnchor xmlns:cdr="http://schemas.openxmlformats.org/drawingml/2006/chartDrawing">
    <cdr:from>
      <cdr:x>0.93368</cdr:x>
      <cdr:y>0.80131</cdr:y>
    </cdr:from>
    <cdr:to>
      <cdr:x>1</cdr:x>
      <cdr:y>0.95478</cdr:y>
    </cdr:to>
    <cdr:sp macro="" textlink="">
      <cdr:nvSpPr>
        <cdr:cNvPr id="4" name="TextBox 1"/>
        <cdr:cNvSpPr txBox="1"/>
      </cdr:nvSpPr>
      <cdr:spPr>
        <a:xfrm xmlns:a="http://schemas.openxmlformats.org/drawingml/2006/main">
          <a:off x="9986849" y="2585846"/>
          <a:ext cx="709373" cy="4952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lang="fr-FR">
              <a:latin typeface="+mn-lt"/>
              <a:ea typeface="+mn-ea"/>
              <a:cs typeface="+mn-cs"/>
            </a:defRPr>
          </a:lvl1pPr>
          <a:lvl2pPr marL="457200" indent="0">
            <a:defRPr sz="1100" lang="fr-FR">
              <a:latin typeface="+mn-lt"/>
              <a:ea typeface="+mn-ea"/>
              <a:cs typeface="+mn-cs"/>
            </a:defRPr>
          </a:lvl2pPr>
          <a:lvl3pPr marL="914400" indent="0">
            <a:defRPr sz="1100" lang="fr-FR">
              <a:latin typeface="+mn-lt"/>
              <a:ea typeface="+mn-ea"/>
              <a:cs typeface="+mn-cs"/>
            </a:defRPr>
          </a:lvl3pPr>
          <a:lvl4pPr marL="1371600" indent="0">
            <a:defRPr sz="1100" lang="fr-FR">
              <a:latin typeface="+mn-lt"/>
              <a:ea typeface="+mn-ea"/>
              <a:cs typeface="+mn-cs"/>
            </a:defRPr>
          </a:lvl4pPr>
          <a:lvl5pPr marL="1828800" indent="0">
            <a:defRPr sz="1100" lang="fr-FR">
              <a:latin typeface="+mn-lt"/>
              <a:ea typeface="+mn-ea"/>
              <a:cs typeface="+mn-cs"/>
            </a:defRPr>
          </a:lvl5pPr>
          <a:lvl6pPr marL="2286000" indent="0">
            <a:defRPr sz="1100" lang="fr-FR">
              <a:latin typeface="+mn-lt"/>
              <a:ea typeface="+mn-ea"/>
              <a:cs typeface="+mn-cs"/>
            </a:defRPr>
          </a:lvl6pPr>
          <a:lvl7pPr marL="2743200" indent="0">
            <a:defRPr sz="1100" lang="fr-FR">
              <a:latin typeface="+mn-lt"/>
              <a:ea typeface="+mn-ea"/>
              <a:cs typeface="+mn-cs"/>
            </a:defRPr>
          </a:lvl7pPr>
          <a:lvl8pPr marL="3200400" indent="0">
            <a:defRPr sz="1100" lang="fr-FR">
              <a:latin typeface="+mn-lt"/>
              <a:ea typeface="+mn-ea"/>
              <a:cs typeface="+mn-cs"/>
            </a:defRPr>
          </a:lvl8pPr>
          <a:lvl9pPr marL="3657600" indent="0">
            <a:defRPr sz="1100" lang="fr-FR">
              <a:latin typeface="+mn-lt"/>
              <a:ea typeface="+mn-ea"/>
              <a:cs typeface="+mn-cs"/>
            </a:defRPr>
          </a:lvl9pPr>
        </a:lstStyle>
        <a:p xmlns:a="http://schemas.openxmlformats.org/drawingml/2006/main">
          <a:r>
            <a:rPr lang="fr-FR" sz="1100" b="1">
              <a:solidFill>
                <a:srgbClr val="FF0000"/>
              </a:solidFill>
            </a:rPr>
            <a:t xml:space="preserve">Varroas en fin de simulation</a:t>
          </a:r>
          <a:endParaRPr lang="fr-FR" sz="1100" b="1">
            <a:solidFill>
              <a:srgbClr val="FF0000"/>
            </a:solidFill>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1</xdr:col>
      <xdr:colOff>355601</xdr:colOff>
      <xdr:row>3</xdr:row>
      <xdr:rowOff>237244</xdr:rowOff>
    </xdr:from>
    <xdr:to>
      <xdr:col>29</xdr:col>
      <xdr:colOff>63500</xdr:colOff>
      <xdr:row>19</xdr:row>
      <xdr:rowOff>127000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34</xdr:col>
      <xdr:colOff>99218</xdr:colOff>
      <xdr:row>61</xdr:row>
      <xdr:rowOff>37042</xdr:rowOff>
    </xdr:from>
    <xdr:to>
      <xdr:col>41</xdr:col>
      <xdr:colOff>269876</xdr:colOff>
      <xdr:row>80</xdr:row>
      <xdr:rowOff>148167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13535818" y="10988675"/>
          <a:ext cx="2757225" cy="31675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Comme le montre le tableau de gauche, si le taux logarithmique quotidien r est abaissé à 0,002, comme dans une lignée d’abeilles très résistante aux varroas, il faudrait environ un an pour que la population de varroas d’une ruche double (sans tenir compte de l’immigration).</a:t>
          </a:r>
        </a:p>
        <a:p>
          <a:endParaRPr lang="fr-FR" sz="1100" baseline="0"/>
        </a:p>
        <a:p>
          <a:r>
            <a:rPr lang="fr-FR" sz="1100" baseline="0"/>
            <a:t xml:space="preserve">Dans toutes les lignées, le taux d’accroissement est contrebalancé par le taux de mortalité des varroas, lié au vieillissement, au toilettage, à l’émigration et aux traitements.</a:t>
          </a:r>
        </a:p>
        <a:p>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Le point essentiel est que les varroas ne peuvent augmenter que pendant les mois où la colonie élève du couvain ; le reste de l’année, seul le taux de perte des varroas s’applique. C’est pourquoi les varroas posent davantage de problèmes dans les régions aux hivers courts.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solidFill>
              <a:schemeClr val="dk1"/>
            </a:solidFill>
            <a:effectLst/>
            <a:latin typeface="+mn-lt"/>
            <a:ea typeface="+mn-ea"/>
            <a:cs typeface="+mn-cs"/>
          </a:endParaRPr>
        </a:p>
      </xdr:txBody>
    </xdr:sp>
    <xdr:clientData/>
  </xdr:twoCellAnchor>
  <xdr:twoCellAnchor>
    <xdr:from>
      <xdr:col>141</xdr:col>
      <xdr:colOff>0</xdr:colOff>
      <xdr:row>60</xdr:row>
      <xdr:rowOff>63500</xdr:rowOff>
    </xdr:from>
    <xdr:to>
      <xdr:col>159</xdr:col>
      <xdr:colOff>592665</xdr:colOff>
      <xdr:row>67</xdr:row>
      <xdr:rowOff>31750</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88688333" y="10854267"/>
          <a:ext cx="12661899" cy="10943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a:t>
          </a:r>
          <a:endParaRPr lang="fr-F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De Ruijter, A (1987). Reproduction de Varroa jacobsoni au cours de cycles successifs de couvain de l’abeille mellifère. Apidologie 18(4): 321–326.</a:t>
          </a:r>
          <a:endParaRPr lang="fr-FR" sz="1100"/>
        </a:p>
        <a:p>
          <a:r>
            <a:rPr lang="fr-FR" sz="1100"/>
            <a:t xml:space="preserve">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a:t>
          </a:r>
        </a:p>
      </xdr:txBody>
    </xdr:sp>
    <xdr:clientData/>
  </xdr:twoCellAnchor>
  <xdr:oneCellAnchor>
    <xdr:from>
      <xdr:col>145</xdr:col>
      <xdr:colOff>42333</xdr:colOff>
      <xdr:row>65</xdr:row>
      <xdr:rowOff>116417</xdr:rowOff>
    </xdr:from>
    <xdr:ext cx="184731" cy="264560"/>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91791366" y="117115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rmAutofit/>
        </a:bodyPr>
        <a:lstStyle/>
        <a:p>
          <a:endParaRPr lang="fr-FR" sz="1100"/>
        </a:p>
      </xdr:txBody>
    </xdr:sp>
    <xdr:clientData/>
  </xdr:oneCellAnchor>
  <xdr:twoCellAnchor>
    <xdr:from>
      <xdr:col>43</xdr:col>
      <xdr:colOff>0</xdr:colOff>
      <xdr:row>18</xdr:row>
      <xdr:rowOff>395111</xdr:rowOff>
    </xdr:from>
    <xdr:to>
      <xdr:col>47</xdr:col>
      <xdr:colOff>42333</xdr:colOff>
      <xdr:row>18</xdr:row>
      <xdr:rowOff>627944</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16683567" y="4027311"/>
          <a:ext cx="1363133"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000"/>
            <a:t xml:space="preserve">© Randy Oliver 2017</a:t>
          </a:r>
        </a:p>
      </xdr:txBody>
    </xdr:sp>
    <xdr:clientData/>
  </xdr:twoCellAnchor>
  <xdr:twoCellAnchor>
    <xdr:from>
      <xdr:col>67</xdr:col>
      <xdr:colOff>539750</xdr:colOff>
      <xdr:row>79</xdr:row>
      <xdr:rowOff>74083</xdr:rowOff>
    </xdr:from>
    <xdr:to>
      <xdr:col>75</xdr:col>
      <xdr:colOff>31750</xdr:colOff>
      <xdr:row>81</xdr:row>
      <xdr:rowOff>84667</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flipH="1" flipV="1">
          <a:off x="32666517" y="13921316"/>
          <a:ext cx="4389966" cy="332318"/>
        </a:xfrm>
        <a:prstGeom prst="straightConnector1">
          <a:avLst/>
        </a:prstGeom>
        <a:ln w="190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87</xdr:col>
      <xdr:colOff>190500</xdr:colOff>
      <xdr:row>87</xdr:row>
      <xdr:rowOff>83344</xdr:rowOff>
    </xdr:from>
    <xdr:to>
      <xdr:col>97</xdr:col>
      <xdr:colOff>451909</xdr:colOff>
      <xdr:row>107</xdr:row>
      <xdr:rowOff>98425</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0</xdr:row>
      <xdr:rowOff>14112</xdr:rowOff>
    </xdr:from>
    <xdr:to>
      <xdr:col>28</xdr:col>
      <xdr:colOff>352777</xdr:colOff>
      <xdr:row>3</xdr:row>
      <xdr:rowOff>220360</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186267" y="14112"/>
          <a:ext cx="11050410" cy="68884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200" b="1"/>
            <a:t xml:space="preserve">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a:t>
          </a:r>
          <a:endParaRPr lang="fr-FR" sz="1200" b="1"/>
        </a:p>
      </xdr:txBody>
    </xdr:sp>
    <xdr:clientData/>
  </xdr:twoCellAnchor>
  <xdr:twoCellAnchor>
    <xdr:from>
      <xdr:col>22</xdr:col>
      <xdr:colOff>49389</xdr:colOff>
      <xdr:row>3</xdr:row>
      <xdr:rowOff>606777</xdr:rowOff>
    </xdr:from>
    <xdr:to>
      <xdr:col>26</xdr:col>
      <xdr:colOff>165804</xdr:colOff>
      <xdr:row>3</xdr:row>
      <xdr:rowOff>1104193</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8723489" y="1089377"/>
          <a:ext cx="1589615" cy="497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 ScientificBeekeeping</a:t>
          </a:r>
        </a:p>
      </xdr:txBody>
    </xdr:sp>
    <xdr:clientData/>
  </xdr:twoCellAnchor>
  <xdr:twoCellAnchor>
    <xdr:from>
      <xdr:col>1</xdr:col>
      <xdr:colOff>0</xdr:colOff>
      <xdr:row>25</xdr:row>
      <xdr:rowOff>42333</xdr:rowOff>
    </xdr:from>
    <xdr:to>
      <xdr:col>29</xdr:col>
      <xdr:colOff>0</xdr:colOff>
      <xdr:row>29</xdr:row>
      <xdr:rowOff>112889</xdr:rowOff>
    </xdr:to>
    <xdr:sp macro="" textlink="">
      <xdr:nvSpPr>
        <xdr:cNvPr id="11" name="TextBox 10">
          <a:extLst>
            <a:ext uri="{FF2B5EF4-FFF2-40B4-BE49-F238E27FC236}">
              <a16:creationId xmlns:a16="http://schemas.microsoft.com/office/drawing/2014/main" id="{00000000-0008-0000-0100-00000B000000}"/>
            </a:ext>
          </a:extLst>
        </xdr:cNvPr>
        <xdr:cNvSpPr txBox="1"/>
      </xdr:nvSpPr>
      <xdr:spPr>
        <a:xfrm>
          <a:off x="186267" y="5033433"/>
          <a:ext cx="11065933" cy="714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 L’effondrement est indiqué lorsque la charge en varroas et en virus dépasse les capacités de la colonie. Il est plus facile et préférable de maintenir préventivement une faible infestation que de chercher à la réduire plus tard !</a:t>
          </a:r>
          <a:endParaRPr lang="fr-FR" sz="1100">
            <a:solidFill>
              <a:schemeClr val="tx1"/>
            </a:solidFill>
          </a:endParaRPr>
        </a:p>
      </xdr:txBody>
    </xdr:sp>
    <xdr:clientData/>
  </xdr:twoCellAnchor>
  <xdr:twoCellAnchor>
    <xdr:from>
      <xdr:col>14</xdr:col>
      <xdr:colOff>1</xdr:colOff>
      <xdr:row>29</xdr:row>
      <xdr:rowOff>141111</xdr:rowOff>
    </xdr:from>
    <xdr:to>
      <xdr:col>28</xdr:col>
      <xdr:colOff>345723</xdr:colOff>
      <xdr:row>34</xdr:row>
      <xdr:rowOff>134055</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5727701" y="5775678"/>
          <a:ext cx="5501922" cy="79727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a:t>
          </a:r>
        </a:p>
      </xdr:txBody>
    </xdr:sp>
    <xdr:clientData/>
  </xdr:twoCellAnchor>
  <xdr:twoCellAnchor>
    <xdr:from>
      <xdr:col>29</xdr:col>
      <xdr:colOff>253998</xdr:colOff>
      <xdr:row>2</xdr:row>
      <xdr:rowOff>119942</xdr:rowOff>
    </xdr:from>
    <xdr:to>
      <xdr:col>50</xdr:col>
      <xdr:colOff>239889</xdr:colOff>
      <xdr:row>30</xdr:row>
      <xdr:rowOff>77610</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11506198" y="441675"/>
          <a:ext cx="7728658" cy="54313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 Ce modèle a été confirmé par les données de comptage par lavage à l’alcool de ma propre exploitation commerciale, ainsi que par les retours d’apiculteurs du monde entier.</a:t>
          </a:r>
        </a:p>
        <a:p>
          <a:endParaRPr lang="fr-FR" sz="1100" baseline="0"/>
        </a:p>
        <a:p>
          <a:r>
            <a:rPr lang="fr-FR" sz="1100" baseline="0">
              <a:solidFill>
                <a:schemeClr val="dk1"/>
              </a:solidFill>
              <a:effectLst/>
              <a:latin typeface="+mn-lt"/>
              <a:ea typeface="+mn-ea"/>
              <a:cs typeface="+mn-cs"/>
            </a:rPr>
            <a:t xml:space="preserve">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a:t>
          </a:r>
        </a:p>
        <a:p>
          <a:endParaRPr lang="fr-FR" sz="1100"/>
        </a:p>
        <a:p>
          <a:r>
            <a:rPr lang="fr-FR" sz="1100" b="1"/>
            <a:t xml:space="preserve">Hypothèses de base, ajustements et calculs des taux logarithmiques quotidiens r</a:t>
          </a:r>
        </a:p>
        <a:p>
          <a:endParaRPr lang="fr-FR" sz="1100"/>
        </a:p>
        <a:p>
          <a:r>
            <a:rPr lang="fr-FR" sz="1100"/>
            <a:t xml:space="preserve">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a:t>
          </a:r>
        </a:p>
        <a:p>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a:t xml:space="preserve">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 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Je mets ce modèle à la disposition de la communauté apicole et scientifique et accueille volontiers les suggestions d’amélioration. Le mot de passe est sb, mais veillez à enregistrer une copie avant de le modifier !</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Randy Oliver</a:t>
          </a:r>
          <a:endParaRPr lang="fr-FR" sz="1100"/>
        </a:p>
      </xdr:txBody>
    </xdr:sp>
    <xdr:clientData/>
  </xdr:twoCellAnchor>
  <xdr:twoCellAnchor>
    <xdr:from>
      <xdr:col>7</xdr:col>
      <xdr:colOff>352779</xdr:colOff>
      <xdr:row>3</xdr:row>
      <xdr:rowOff>585611</xdr:rowOff>
    </xdr:from>
    <xdr:to>
      <xdr:col>20</xdr:col>
      <xdr:colOff>239889</xdr:colOff>
      <xdr:row>3</xdr:row>
      <xdr:rowOff>804333</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3502379" y="1068211"/>
          <a:ext cx="4675010" cy="2187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200" b="1" baseline="0"/>
            <a:t xml:space="preserve">Dans cette version, je remets en question mes estimations de la population d’ouvrières de la colonie</a:t>
          </a:r>
        </a:p>
        <a:p>
          <a:r>
            <a:rPr lang="fr-FR" sz="1200" b="1" baseline="0"/>
            <a:t xml:space="preserve">(fondées sur l’hypothèse de 2000 abeilles </a:t>
          </a:r>
        </a:p>
        <a:p>
          <a:r>
            <a:rPr lang="fr-FR" sz="1200" b="1" baseline="0"/>
            <a:t xml:space="preserve">par rayon). Par temps chaud, mes propres comptages ne donnent que</a:t>
          </a:r>
        </a:p>
        <a:p>
          <a:r>
            <a:rPr lang="fr-FR" sz="1200" b="1" baseline="0"/>
            <a:t xml:space="preserve">environ 1 000 abeilles par rayon.</a:t>
          </a:r>
          <a:endParaRPr lang="fr-FR" sz="1200" b="1"/>
        </a:p>
      </xdr:txBody>
    </xdr:sp>
    <xdr:clientData/>
  </xdr:twoCellAnchor>
  <xdr:twoCellAnchor>
    <xdr:from>
      <xdr:col>13</xdr:col>
      <xdr:colOff>345723</xdr:colOff>
      <xdr:row>35</xdr:row>
      <xdr:rowOff>42332</xdr:rowOff>
    </xdr:from>
    <xdr:to>
      <xdr:col>30</xdr:col>
      <xdr:colOff>402167</xdr:colOff>
      <xdr:row>65</xdr:row>
      <xdr:rowOff>112889</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5705123" y="6642099"/>
          <a:ext cx="6317544" cy="50658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solidFill>
                <a:srgbClr val="FF0000"/>
              </a:solidFill>
              <a:effectLst/>
              <a:latin typeface="+mn-lt"/>
              <a:ea typeface="+mn-ea"/>
              <a:cs typeface="+mn-cs"/>
            </a:rPr>
            <a:t xml:space="preserve">Réductions attendues des varroas selon l’option de traitement :
95 % : acaricide de synthèse très efficace, tel que l’amitraz (Apivar), appliqué sur plusieurs semaines. Son action n’est pas rapide ; il vaut donc mieux l’appliquer de façon anticipée, tôt dans la saison.
90 % : deux traitements de 50 g d’Apiguard (ou trois d’Apilife Var), à 10 jours d’intervalle, dans une rehausse. À utiliser de préférence en août, car le thymol réduit l’élevage du couvain.</a:t>
          </a:r>
        </a:p>
        <a:p>
          <a:r>
            <a:rPr lang="fr-FR" sz="1100">
              <a:solidFill>
                <a:schemeClr val="dk1"/>
              </a:solidFill>
              <a:effectLst/>
              <a:latin typeface="+mn-lt"/>
              <a:ea typeface="+mn-ea"/>
              <a:cs typeface="+mn-cs"/>
            </a:rPr>
            <a:t xml:space="preserve">70–90 % (parfois moins) : 2 bandes MAQS ou Formic Pro, ou un traitement fort à l’acide formique (libération progressive ou traitement flash puissant). Meilleur traitement pour faire chuter rapidement les varroas par temps chaud. Peut être utilisé pendant la miellée.</a:t>
          </a:r>
        </a:p>
        <a:p>
          <a:r>
            <a:rPr lang="fr-FR" sz="1100">
              <a:solidFill>
                <a:srgbClr val="FF0000"/>
              </a:solidFill>
              <a:effectLst/>
              <a:latin typeface="+mn-lt"/>
              <a:ea typeface="+mn-ea"/>
              <a:cs typeface="+mn-cs"/>
            </a:rPr>
            <a:t xml:space="preserve">50 % (environ) : 1 bande MAQS ou Formic Pro, ou un traitement unique de faible intensité à l’acide formique pour une réduction rapide. Cette réduction rapide permet de gagner du temps et ménage davantage la reine.</a:t>
          </a:r>
        </a:p>
        <a:p>
          <a:r>
            <a:rPr lang="fr-FR" sz="1100">
              <a:solidFill>
                <a:schemeClr val="dk1"/>
              </a:solidFill>
              <a:effectLst/>
              <a:latin typeface="+mn-lt"/>
              <a:ea typeface="+mn-ea"/>
              <a:cs typeface="+mn-cs"/>
            </a:rPr>
            <a:t xml:space="preserve">80–90 % : Hopguard 3 si la colonie est sans couvain ; des applications répétées seraient nécessaires en présence de couvain. Peut être utilisé pendant la miellée.</a:t>
          </a:r>
          <a:endParaRPr lang="fr-FR" sz="1100">
            <a:solidFill>
              <a:srgbClr val="FF0000"/>
            </a:solidFill>
            <a:effectLst/>
            <a:latin typeface="+mn-lt"/>
            <a:ea typeface="+mn-ea"/>
            <a:cs typeface="+mn-cs"/>
          </a:endParaRPr>
        </a:p>
        <a:p>
          <a:r>
            <a:rPr lang="fr-FR" sz="1100" b="0">
              <a:solidFill>
                <a:schemeClr val="dk1"/>
              </a:solidFill>
              <a:effectLst/>
              <a:latin typeface="+mn-lt"/>
              <a:ea typeface="+mn-ea"/>
              <a:cs typeface="+mn-cs"/>
            </a:rPr>
            <a:t xml:space="preserve">25 % : un seul poudrage au sucre glace, en supposant la chute de 50 % des varroas phorétiques. Nécessite des applications répétées et poursuivies dans le temps.
15–20 % : retrait complet du couvain de mâles, réalisé tôt dans la saison, à chaque retrait. Apporte une certaine réduction, mais demande beaucoup de travail.
80–95 % : dégouttement ou sublimation d’acide oxalique en l’absence de couvain. Excellente réduction lorsque la colonie est sans couvain, à la suite d’une rupture naturelle ou provoquée.
15–45 % : un dégouttement ou une sublimation d’acide oxalique dans une ruche contenant du couvain, proportionnellement au % de varroas phorétiques. Réduction limitée lorsque les colonies contiennent du couvain.
85 %, 3 fois : éponges à libération prolongée d’acide oxalique et de glycérine ; pour le résultat final à 45 jours, saisissez 85 % pendant trois périodes consécutives à partir du moment de l’application. Pas encore homologué.</a:t>
          </a:r>
        </a:p>
        <a:p>
          <a:endParaRPr lang="fr-FR" sz="1100" b="1">
            <a:solidFill>
              <a:srgbClr val="FF0000"/>
            </a:solidFill>
            <a:effectLst/>
            <a:latin typeface="+mn-lt"/>
            <a:ea typeface="+mn-ea"/>
            <a:cs typeface="+mn-cs"/>
          </a:endParaRPr>
        </a:p>
        <a:p>
          <a:r>
            <a:rPr lang="fr-FR" sz="1100" baseline="0">
              <a:solidFill>
                <a:schemeClr val="dk1"/>
              </a:solidFill>
              <a:effectLst/>
              <a:latin typeface="+mn-lt"/>
              <a:ea typeface="+mn-ea"/>
              <a:cs typeface="+mn-cs"/>
            </a:rPr>
            <a:t xml:space="preserve">Environ 30 % : émission d’un essaim primaire au printemps. Hypothèses : 80 % des varroas dans le couvain, départ de 70 % des ouvrières, rupture de couvain de 14 jours.</a:t>
          </a:r>
        </a:p>
        <a:p>
          <a:r>
            <a:rPr lang="fr-FR" sz="1200" b="1" baseline="0">
              <a:solidFill>
                <a:srgbClr val="0070C0"/>
              </a:solidFill>
              <a:effectLst/>
              <a:latin typeface="+mn-lt"/>
              <a:ea typeface="+mn-ea"/>
              <a:cs typeface="+mn-cs"/>
            </a:rPr>
            <a:t xml:space="preserve">Environ 50–55 % : rupture de couvain provoquée par le retrait de la reine ou par une division sans introduction de reine (« walkaway split »). On suppose une rupture de couvain de 26 jours.</a:t>
          </a:r>
          <a:endParaRPr lang="fr-FR" sz="1100" b="0">
            <a:solidFill>
              <a:schemeClr val="tx1"/>
            </a:solidFill>
          </a:endParaRPr>
        </a:p>
      </xdr:txBody>
    </xdr:sp>
    <xdr:clientData/>
  </xdr:twoCellAnchor>
  <xdr:twoCellAnchor editAs="oneCell">
    <xdr:from>
      <xdr:col>2</xdr:col>
      <xdr:colOff>0</xdr:colOff>
      <xdr:row>66</xdr:row>
      <xdr:rowOff>0</xdr:rowOff>
    </xdr:from>
    <xdr:to>
      <xdr:col>25</xdr:col>
      <xdr:colOff>266512</xdr:colOff>
      <xdr:row>88</xdr:row>
      <xdr:rowOff>25499</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3"/>
        <a:stretch>
          <a:fillRect/>
        </a:stretch>
      </xdr:blipFill>
      <xdr:spPr>
        <a:xfrm>
          <a:off x="1308485" y="11807152"/>
          <a:ext cx="8763966" cy="4381983"/>
        </a:xfrm>
        <a:prstGeom prst="rect">
          <a:avLst/>
        </a:prstGeom>
        <a:ln>
          <a:solidFill>
            <a:schemeClr val="tx1"/>
          </a:solidFill>
        </a:ln>
      </xdr:spPr>
    </xdr:pic>
    <xdr:clientData/>
  </xdr:twoCellAnchor>
</xdr:wsDr>
</file>

<file path=xl/drawings/drawing6.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860909" y="1773800"/>
          <a:ext cx="780635" cy="2615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dr:relSizeAnchor xmlns:cdr="http://schemas.openxmlformats.org/drawingml/2006/chartDrawing">
    <cdr:from>
      <cdr:x>0.00527</cdr:x>
      <cdr:y>0.79712</cdr:y>
    </cdr:from>
    <cdr:to>
      <cdr:x>0.0716</cdr:x>
      <cdr:y>0.95059</cdr:y>
    </cdr:to>
    <cdr:sp macro="" textlink="">
      <cdr:nvSpPr>
        <cdr:cNvPr id="2" name="TextBox 1"/>
        <cdr:cNvSpPr txBox="1"/>
      </cdr:nvSpPr>
      <cdr:spPr>
        <a:xfrm xmlns:a="http://schemas.openxmlformats.org/drawingml/2006/main">
          <a:off x="56410" y="2572328"/>
          <a:ext cx="709480" cy="4952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solidFill>
                <a:srgbClr val="FF0000"/>
              </a:solidFill>
            </a:rPr>
            <a:t xml:space="preserve">Varroas au départ</a:t>
          </a:r>
          <a:endParaRPr lang="fr-FR" sz="1100" b="1">
            <a:solidFill>
              <a:srgbClr val="FF0000"/>
            </a:solidFill>
          </a:endParaRPr>
        </a:p>
      </cdr:txBody>
    </cdr:sp>
  </cdr:relSizeAnchor>
  <cdr:relSizeAnchor xmlns:cdr="http://schemas.openxmlformats.org/drawingml/2006/chartDrawing">
    <cdr:from>
      <cdr:x>0.93368</cdr:x>
      <cdr:y>0.80131</cdr:y>
    </cdr:from>
    <cdr:to>
      <cdr:x>1</cdr:x>
      <cdr:y>0.95478</cdr:y>
    </cdr:to>
    <cdr:sp macro="" textlink="">
      <cdr:nvSpPr>
        <cdr:cNvPr id="4" name="TextBox 1"/>
        <cdr:cNvSpPr txBox="1"/>
      </cdr:nvSpPr>
      <cdr:spPr>
        <a:xfrm xmlns:a="http://schemas.openxmlformats.org/drawingml/2006/main">
          <a:off x="9986849" y="2585846"/>
          <a:ext cx="709373" cy="4952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lang="fr-FR">
              <a:latin typeface="+mn-lt"/>
              <a:ea typeface="+mn-ea"/>
              <a:cs typeface="+mn-cs"/>
            </a:defRPr>
          </a:lvl1pPr>
          <a:lvl2pPr marL="457200" indent="0">
            <a:defRPr sz="1100" lang="fr-FR">
              <a:latin typeface="+mn-lt"/>
              <a:ea typeface="+mn-ea"/>
              <a:cs typeface="+mn-cs"/>
            </a:defRPr>
          </a:lvl2pPr>
          <a:lvl3pPr marL="914400" indent="0">
            <a:defRPr sz="1100" lang="fr-FR">
              <a:latin typeface="+mn-lt"/>
              <a:ea typeface="+mn-ea"/>
              <a:cs typeface="+mn-cs"/>
            </a:defRPr>
          </a:lvl3pPr>
          <a:lvl4pPr marL="1371600" indent="0">
            <a:defRPr sz="1100" lang="fr-FR">
              <a:latin typeface="+mn-lt"/>
              <a:ea typeface="+mn-ea"/>
              <a:cs typeface="+mn-cs"/>
            </a:defRPr>
          </a:lvl4pPr>
          <a:lvl5pPr marL="1828800" indent="0">
            <a:defRPr sz="1100" lang="fr-FR">
              <a:latin typeface="+mn-lt"/>
              <a:ea typeface="+mn-ea"/>
              <a:cs typeface="+mn-cs"/>
            </a:defRPr>
          </a:lvl5pPr>
          <a:lvl6pPr marL="2286000" indent="0">
            <a:defRPr sz="1100" lang="fr-FR">
              <a:latin typeface="+mn-lt"/>
              <a:ea typeface="+mn-ea"/>
              <a:cs typeface="+mn-cs"/>
            </a:defRPr>
          </a:lvl6pPr>
          <a:lvl7pPr marL="2743200" indent="0">
            <a:defRPr sz="1100" lang="fr-FR">
              <a:latin typeface="+mn-lt"/>
              <a:ea typeface="+mn-ea"/>
              <a:cs typeface="+mn-cs"/>
            </a:defRPr>
          </a:lvl7pPr>
          <a:lvl8pPr marL="3200400" indent="0">
            <a:defRPr sz="1100" lang="fr-FR">
              <a:latin typeface="+mn-lt"/>
              <a:ea typeface="+mn-ea"/>
              <a:cs typeface="+mn-cs"/>
            </a:defRPr>
          </a:lvl8pPr>
          <a:lvl9pPr marL="3657600" indent="0">
            <a:defRPr sz="1100" lang="fr-FR">
              <a:latin typeface="+mn-lt"/>
              <a:ea typeface="+mn-ea"/>
              <a:cs typeface="+mn-cs"/>
            </a:defRPr>
          </a:lvl9pPr>
        </a:lstStyle>
        <a:p xmlns:a="http://schemas.openxmlformats.org/drawingml/2006/main">
          <a:r>
            <a:rPr lang="fr-FR" sz="1100" b="1">
              <a:solidFill>
                <a:srgbClr val="FF0000"/>
              </a:solidFill>
            </a:rPr>
            <a:t xml:space="preserve">Varroas en fin de simulation</a:t>
          </a:r>
          <a:endParaRPr lang="fr-FR" sz="1100" b="1">
            <a:solidFill>
              <a:srgbClr val="FF0000"/>
            </a:solidFill>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85725</xdr:colOff>
      <xdr:row>29</xdr:row>
      <xdr:rowOff>2428874</xdr:rowOff>
    </xdr:from>
    <xdr:to>
      <xdr:col>1</xdr:col>
      <xdr:colOff>5298281</xdr:colOff>
      <xdr:row>53</xdr:row>
      <xdr:rowOff>119061</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59533</xdr:colOff>
      <xdr:row>171</xdr:row>
      <xdr:rowOff>47625</xdr:rowOff>
    </xdr:from>
    <xdr:to>
      <xdr:col>1</xdr:col>
      <xdr:colOff>5322095</xdr:colOff>
      <xdr:row>194</xdr:row>
      <xdr:rowOff>33337</xdr:rowOff>
    </xdr:to>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199</xdr:row>
      <xdr:rowOff>35719</xdr:rowOff>
    </xdr:from>
    <xdr:to>
      <xdr:col>1</xdr:col>
      <xdr:colOff>5298281</xdr:colOff>
      <xdr:row>222</xdr:row>
      <xdr:rowOff>21430</xdr:rowOff>
    </xdr:to>
    <xdr:graphicFrame macro="">
      <xdr:nvGraphicFramePr>
        <xdr:cNvPr id="33" name="Chart 32">
          <a:extLst>
            <a:ext uri="{FF2B5EF4-FFF2-40B4-BE49-F238E27FC236}">
              <a16:creationId xmlns:a16="http://schemas.microsoft.com/office/drawing/2014/main" id="{00000000-0008-0000-02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254</xdr:row>
      <xdr:rowOff>0</xdr:rowOff>
    </xdr:from>
    <xdr:to>
      <xdr:col>1</xdr:col>
      <xdr:colOff>5262562</xdr:colOff>
      <xdr:row>276</xdr:row>
      <xdr:rowOff>152400</xdr:rowOff>
    </xdr:to>
    <xdr:graphicFrame macro="">
      <xdr:nvGraphicFramePr>
        <xdr:cNvPr id="15" name="Chart 14">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114</xdr:row>
      <xdr:rowOff>0</xdr:rowOff>
    </xdr:from>
    <xdr:to>
      <xdr:col>1</xdr:col>
      <xdr:colOff>5212556</xdr:colOff>
      <xdr:row>137</xdr:row>
      <xdr:rowOff>119062</xdr:rowOff>
    </xdr:to>
    <xdr:graphicFrame macro="">
      <xdr:nvGraphicFramePr>
        <xdr:cNvPr id="21" name="Chart 20">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114300</xdr:colOff>
      <xdr:row>86</xdr:row>
      <xdr:rowOff>9525</xdr:rowOff>
    </xdr:from>
    <xdr:to>
      <xdr:col>1</xdr:col>
      <xdr:colOff>5326856</xdr:colOff>
      <xdr:row>109</xdr:row>
      <xdr:rowOff>128587</xdr:rowOff>
    </xdr:to>
    <xdr:graphicFrame macro="">
      <xdr:nvGraphicFramePr>
        <xdr:cNvPr id="12" name="Chart 11">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0</xdr:colOff>
      <xdr:row>58</xdr:row>
      <xdr:rowOff>0</xdr:rowOff>
    </xdr:from>
    <xdr:to>
      <xdr:col>1</xdr:col>
      <xdr:colOff>5212556</xdr:colOff>
      <xdr:row>83</xdr:row>
      <xdr:rowOff>23812</xdr:rowOff>
    </xdr:to>
    <xdr:graphicFrame macro="">
      <xdr:nvGraphicFramePr>
        <xdr:cNvPr id="14" name="Chart 13">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142</xdr:row>
      <xdr:rowOff>0</xdr:rowOff>
    </xdr:from>
    <xdr:to>
      <xdr:col>1</xdr:col>
      <xdr:colOff>5212556</xdr:colOff>
      <xdr:row>165</xdr:row>
      <xdr:rowOff>119062</xdr:rowOff>
    </xdr:to>
    <xdr:graphicFrame macro="">
      <xdr:nvGraphicFramePr>
        <xdr:cNvPr id="17" name="Chart 16">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226</xdr:row>
      <xdr:rowOff>0</xdr:rowOff>
    </xdr:from>
    <xdr:to>
      <xdr:col>1</xdr:col>
      <xdr:colOff>5212556</xdr:colOff>
      <xdr:row>249</xdr:row>
      <xdr:rowOff>119062</xdr:rowOff>
    </xdr:to>
    <xdr:graphicFrame macro="">
      <xdr:nvGraphicFramePr>
        <xdr:cNvPr id="19" name="Chart 18">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39</xdr:col>
      <xdr:colOff>523874</xdr:colOff>
      <xdr:row>1</xdr:row>
      <xdr:rowOff>111124</xdr:rowOff>
    </xdr:from>
    <xdr:to>
      <xdr:col>49</xdr:col>
      <xdr:colOff>603249</xdr:colOff>
      <xdr:row>28</xdr:row>
      <xdr:rowOff>107949</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xdr:col>
      <xdr:colOff>12701</xdr:colOff>
      <xdr:row>0</xdr:row>
      <xdr:rowOff>57150</xdr:rowOff>
    </xdr:from>
    <xdr:to>
      <xdr:col>2</xdr:col>
      <xdr:colOff>3175</xdr:colOff>
      <xdr:row>20</xdr:row>
      <xdr:rowOff>78191</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1" cstate="print"/>
        <a:stretch>
          <a:fillRect/>
        </a:stretch>
      </xdr:blipFill>
      <xdr:spPr>
        <a:xfrm>
          <a:off x="120651" y="57150"/>
          <a:ext cx="5629274" cy="3308754"/>
        </a:xfrm>
        <a:prstGeom prst="rect">
          <a:avLst/>
        </a:prstGeom>
      </xdr:spPr>
    </xdr:pic>
    <xdr:clientData/>
  </xdr:twoCellAnchor>
  <xdr:twoCellAnchor>
    <xdr:from>
      <xdr:col>1</xdr:col>
      <xdr:colOff>0</xdr:colOff>
      <xdr:row>166</xdr:row>
      <xdr:rowOff>0</xdr:rowOff>
    </xdr:from>
    <xdr:to>
      <xdr:col>3</xdr:col>
      <xdr:colOff>785812</xdr:colOff>
      <xdr:row>168</xdr:row>
      <xdr:rowOff>23813</xdr:rowOff>
    </xdr:to>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107156" y="38695313"/>
          <a:ext cx="6953250" cy="357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0" i="0">
              <a:solidFill>
                <a:schemeClr val="dk1"/>
              </a:solidFill>
              <a:effectLst/>
              <a:latin typeface="+mn-lt"/>
              <a:ea typeface="+mn-ea"/>
              <a:cs typeface="+mn-cs"/>
            </a:rPr>
            <a:t xml:space="preserve">Merci à Andrew Munn, du Manitoba, pour l’ajustement des nombres d’abeilles et de cellules de couvain.</a:t>
          </a:r>
          <a:endParaRPr lang="fr-FR" sz="1100"/>
        </a:p>
      </xdr:txBody>
    </xdr:sp>
    <xdr:clientData/>
  </xdr:twoCellAnchor>
  <xdr:twoCellAnchor>
    <xdr:from>
      <xdr:col>1</xdr:col>
      <xdr:colOff>0</xdr:colOff>
      <xdr:row>138</xdr:row>
      <xdr:rowOff>0</xdr:rowOff>
    </xdr:from>
    <xdr:to>
      <xdr:col>3</xdr:col>
      <xdr:colOff>785812</xdr:colOff>
      <xdr:row>140</xdr:row>
      <xdr:rowOff>23813</xdr:rowOff>
    </xdr:to>
    <xdr:sp macro="" textlink="">
      <xdr:nvSpPr>
        <xdr:cNvPr id="20" name="TextBox 19">
          <a:extLst>
            <a:ext uri="{FF2B5EF4-FFF2-40B4-BE49-F238E27FC236}">
              <a16:creationId xmlns:a16="http://schemas.microsoft.com/office/drawing/2014/main" id="{00000000-0008-0000-0200-000014000000}"/>
            </a:ext>
          </a:extLst>
        </xdr:cNvPr>
        <xdr:cNvSpPr txBox="1"/>
      </xdr:nvSpPr>
      <xdr:spPr>
        <a:xfrm>
          <a:off x="107156" y="31765875"/>
          <a:ext cx="6953250" cy="3571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0" i="0">
              <a:solidFill>
                <a:schemeClr val="dk1"/>
              </a:solidFill>
              <a:effectLst/>
              <a:latin typeface="+mn-lt"/>
              <a:ea typeface="+mn-ea"/>
              <a:cs typeface="+mn-cs"/>
            </a:rPr>
            <a:t xml:space="preserve">Merci à Rob Stone, du comté d’Orange en Californie, pour les données d’abeilles et de couvain.</a:t>
          </a:r>
          <a:endParaRPr lang="fr-F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200025</xdr:colOff>
      <xdr:row>10</xdr:row>
      <xdr:rowOff>141111</xdr:rowOff>
    </xdr:from>
    <xdr:to>
      <xdr:col>13</xdr:col>
      <xdr:colOff>504825</xdr:colOff>
      <xdr:row>32</xdr:row>
      <xdr:rowOff>28575</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0</xdr:row>
      <xdr:rowOff>123824</xdr:rowOff>
    </xdr:from>
    <xdr:to>
      <xdr:col>17</xdr:col>
      <xdr:colOff>590550</xdr:colOff>
      <xdr:row>9</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a:off x="85725" y="123824"/>
          <a:ext cx="11582400" cy="1333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a:t>
          </a:r>
        </a:p>
        <a:p>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t xml:space="preserve">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 Dans le modèle ci-dessous, vous pouvez saisir des valeurs dans n’importe quelle cellule jaune. Consultez l’onglet « Modèle principal » pour un modèle plus complet.</a:t>
          </a:r>
        </a:p>
        <a:p>
          <a:endParaRPr lang="fr-FR" sz="1100" baseline="0"/>
        </a:p>
      </xdr:txBody>
    </xdr:sp>
    <xdr:clientData/>
  </xdr:twoCellAnchor>
  <xdr:twoCellAnchor>
    <xdr:from>
      <xdr:col>3</xdr:col>
      <xdr:colOff>276224</xdr:colOff>
      <xdr:row>45</xdr:row>
      <xdr:rowOff>101600</xdr:rowOff>
    </xdr:from>
    <xdr:to>
      <xdr:col>11</xdr:col>
      <xdr:colOff>514349</xdr:colOff>
      <xdr:row>68</xdr:row>
      <xdr:rowOff>9525</xdr:rowOff>
    </xdr:to>
    <xdr:graphicFrame macro="">
      <xdr:nvGraphicFramePr>
        <xdr:cNvPr id="4" name="Chart 3">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24</xdr:col>
      <xdr:colOff>402167</xdr:colOff>
      <xdr:row>1</xdr:row>
      <xdr:rowOff>95250</xdr:rowOff>
    </xdr:from>
    <xdr:to>
      <xdr:col>36</xdr:col>
      <xdr:colOff>164241</xdr:colOff>
      <xdr:row>25</xdr:row>
      <xdr:rowOff>109896</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3" cstate="print"/>
        <a:stretch>
          <a:fillRect/>
        </a:stretch>
      </xdr:blipFill>
      <xdr:spPr>
        <a:xfrm>
          <a:off x="16446500" y="254000"/>
          <a:ext cx="6874074" cy="4152729"/>
        </a:xfrm>
        <a:prstGeom prst="rect">
          <a:avLst/>
        </a:prstGeom>
      </xdr:spPr>
    </xdr:pic>
    <xdr:clientData/>
  </xdr:twoCellAnchor>
  <xdr:twoCellAnchor>
    <xdr:from>
      <xdr:col>10</xdr:col>
      <xdr:colOff>352778</xdr:colOff>
      <xdr:row>34</xdr:row>
      <xdr:rowOff>155222</xdr:rowOff>
    </xdr:from>
    <xdr:to>
      <xdr:col>14</xdr:col>
      <xdr:colOff>141112</xdr:colOff>
      <xdr:row>41</xdr:row>
      <xdr:rowOff>155222</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7824611" y="6011333"/>
          <a:ext cx="2215445" cy="1135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1"/>
            <a:t xml:space="preserve">Il est facile de comprendre pourquoi la gestion du varroa est beaucoup plus difficile en Californie, au Texas ou en Floride que dans les régions plus septentrionales.</a:t>
          </a:r>
        </a:p>
      </xdr:txBody>
    </xdr:sp>
    <xdr:clientData/>
  </xdr:twoCellAnchor>
  <xdr:twoCellAnchor>
    <xdr:from>
      <xdr:col>24</xdr:col>
      <xdr:colOff>377472</xdr:colOff>
      <xdr:row>26</xdr:row>
      <xdr:rowOff>70556</xdr:rowOff>
    </xdr:from>
    <xdr:to>
      <xdr:col>36</xdr:col>
      <xdr:colOff>95249</xdr:colOff>
      <xdr:row>30</xdr:row>
      <xdr:rowOff>53837</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a:off x="16421805" y="4526139"/>
          <a:ext cx="6829777" cy="650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Taux habituels d’infestation par les varroas phorétiques chez les apiculteurs des États-Unis, d’après Bee Informed Partnership, 2016. Multiplier les valeurs de l’axe vertical par 3 pour obtenir les comptages par lavage à l’alcool d’environ 120 mL d’abeilles (½ tasse dans l’original).</a:t>
          </a:r>
          <a:endParaRPr lang="fr-FR" sz="1100"/>
        </a:p>
      </xdr:txBody>
    </xdr:sp>
    <xdr:clientData/>
  </xdr:twoCellAnchor>
  <xdr:twoCellAnchor>
    <xdr:from>
      <xdr:col>19</xdr:col>
      <xdr:colOff>42334</xdr:colOff>
      <xdr:row>46</xdr:row>
      <xdr:rowOff>21167</xdr:rowOff>
    </xdr:from>
    <xdr:to>
      <xdr:col>26</xdr:col>
      <xdr:colOff>452966</xdr:colOff>
      <xdr:row>69</xdr:row>
      <xdr:rowOff>109714</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0.00331</cdr:x>
      <cdr:y>0.00482</cdr:y>
    </cdr:from>
    <cdr:to>
      <cdr:x>1</cdr:x>
      <cdr:y>0.17842</cdr:y>
    </cdr:to>
    <cdr:sp macro="" textlink="">
      <cdr:nvSpPr>
        <cdr:cNvPr id="2" name="TextBox 1"/>
        <cdr:cNvSpPr txBox="1"/>
      </cdr:nvSpPr>
      <cdr:spPr>
        <a:xfrm xmlns:a="http://schemas.openxmlformats.org/drawingml/2006/main">
          <a:off x="15521" y="18279"/>
          <a:ext cx="4677834" cy="659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fr-FR" sz="1600" b="1" i="0" baseline="0">
              <a:effectLst/>
              <a:latin typeface="+mn-lt"/>
              <a:ea typeface="+mn-ea"/>
              <a:cs typeface="+mn-cs"/>
            </a:rPr>
            <a:t xml:space="preserve">Multiplication globale de la population de varroas selon le nombre de mois d’élevage du couvain et l’effet du traitement</a:t>
          </a:r>
          <a:endParaRPr lang="fr-FR" sz="1600">
            <a:effectLst/>
          </a:endParaRPr>
        </a:p>
        <a:p xmlns:a="http://schemas.openxmlformats.org/drawingml/2006/main">
          <a:endParaRPr lang="fr-FR" sz="1100"/>
        </a:p>
      </cdr:txBody>
    </cdr:sp>
  </cdr:relSizeAnchor>
</c:userShapes>
</file>

<file path=xl/drawings/drawing10.xml><?xml version="1.0" encoding="utf-8"?>
<c:userShapes xmlns:c="http://schemas.openxmlformats.org/drawingml/2006/chart">
  <cdr:relSizeAnchor xmlns:cdr="http://schemas.openxmlformats.org/drawingml/2006/chartDrawing">
    <cdr:from>
      <cdr:x>0.00331</cdr:x>
      <cdr:y>0.00482</cdr:y>
    </cdr:from>
    <cdr:to>
      <cdr:x>1</cdr:x>
      <cdr:y>0.17842</cdr:y>
    </cdr:to>
    <cdr:sp macro="" textlink="">
      <cdr:nvSpPr>
        <cdr:cNvPr id="2" name="TextBox 1"/>
        <cdr:cNvSpPr txBox="1"/>
      </cdr:nvSpPr>
      <cdr:spPr>
        <a:xfrm xmlns:a="http://schemas.openxmlformats.org/drawingml/2006/main">
          <a:off x="15521" y="18279"/>
          <a:ext cx="4677834" cy="65905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rtl="0"/>
          <a:r>
            <a:rPr lang="fr-FR" sz="1600" b="1" i="0" baseline="0">
              <a:effectLst/>
              <a:latin typeface="+mn-lt"/>
              <a:ea typeface="+mn-ea"/>
              <a:cs typeface="+mn-cs"/>
            </a:rPr>
            <a:t xml:space="preserve">Multiplication globale de la population de varroas selon le degré de résistance (taux logarithmique quotidien r sans résistance = 0,021)</a:t>
          </a:r>
          <a:endParaRPr lang="fr-FR" sz="1600">
            <a:effectLst/>
          </a:endParaRPr>
        </a:p>
        <a:p xmlns:a="http://schemas.openxmlformats.org/drawingml/2006/main">
          <a:endParaRPr lang="fr-FR" sz="1100"/>
        </a:p>
      </cdr:txBody>
    </cdr:sp>
  </cdr:relSizeAnchor>
</c:userShapes>
</file>

<file path=xl/drawings/drawing11.xml><?xml version="1.0" encoding="utf-8"?>
<xdr:wsDr xmlns:xdr="http://schemas.openxmlformats.org/drawingml/2006/spreadsheetDrawing" xmlns:a="http://schemas.openxmlformats.org/drawingml/2006/main">
  <xdr:twoCellAnchor>
    <xdr:from>
      <xdr:col>3</xdr:col>
      <xdr:colOff>6350</xdr:colOff>
      <xdr:row>0</xdr:row>
      <xdr:rowOff>25400</xdr:rowOff>
    </xdr:from>
    <xdr:to>
      <xdr:col>14</xdr:col>
      <xdr:colOff>387350</xdr:colOff>
      <xdr:row>7</xdr:row>
      <xdr:rowOff>50800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615950" y="25400"/>
          <a:ext cx="7696200" cy="1136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a:t>
          </a:r>
        </a:p>
        <a:p>
          <a:r>
            <a:rPr lang="fr-FR" sz="1100" baseline="0"/>
            <a:t xml:space="preserve">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a:t>
          </a:r>
          <a:endParaRPr lang="fr-FR" sz="1100"/>
        </a:p>
      </xdr:txBody>
    </xdr:sp>
    <xdr:clientData/>
  </xdr:twoCellAnchor>
  <xdr:twoCellAnchor>
    <xdr:from>
      <xdr:col>12</xdr:col>
      <xdr:colOff>149225</xdr:colOff>
      <xdr:row>9</xdr:row>
      <xdr:rowOff>22225</xdr:rowOff>
    </xdr:from>
    <xdr:to>
      <xdr:col>19</xdr:col>
      <xdr:colOff>454025</xdr:colOff>
      <xdr:row>22</xdr:row>
      <xdr:rowOff>98425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7</xdr:col>
      <xdr:colOff>38100</xdr:colOff>
      <xdr:row>1</xdr:row>
      <xdr:rowOff>28575</xdr:rowOff>
    </xdr:from>
    <xdr:to>
      <xdr:col>15</xdr:col>
      <xdr:colOff>133350</xdr:colOff>
      <xdr:row>26</xdr:row>
      <xdr:rowOff>98425</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381000</xdr:colOff>
      <xdr:row>10</xdr:row>
      <xdr:rowOff>47625</xdr:rowOff>
    </xdr:from>
    <xdr:to>
      <xdr:col>14</xdr:col>
      <xdr:colOff>228600</xdr:colOff>
      <xdr:row>17</xdr:row>
      <xdr:rowOff>28575</xdr:rowOff>
    </xdr:to>
    <xdr:sp macro="" textlink="">
      <xdr:nvSpPr>
        <xdr:cNvPr id="6" name="Up Arrow 5">
          <a:extLst>
            <a:ext uri="{FF2B5EF4-FFF2-40B4-BE49-F238E27FC236}">
              <a16:creationId xmlns:a16="http://schemas.microsoft.com/office/drawing/2014/main" id="{00000000-0008-0000-0800-000006000000}"/>
            </a:ext>
          </a:extLst>
        </xdr:cNvPr>
        <xdr:cNvSpPr>
          <a:spLocks noChangeAspect="1"/>
        </xdr:cNvSpPr>
      </xdr:nvSpPr>
      <xdr:spPr>
        <a:xfrm>
          <a:off x="4648200" y="1666875"/>
          <a:ext cx="457200" cy="1114425"/>
        </a:xfrm>
        <a:prstGeom prst="upArrow">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0" bIns="91440" rtlCol="0" anchor="ctr" wrap="square">
          <a:normAutofit/>
        </a:bodyPr>
        <a:lstStyle/>
        <a:p>
          <a:pPr algn="ctr"/>
          <a:r>
            <a:rPr lang="fr-FR" sz="1200">
              <a:solidFill>
                <a:srgbClr val="0070C0"/>
              </a:solidFill>
            </a:rPr>
            <a:t xml:space="preserve">Augmentation</a:t>
          </a:r>
        </a:p>
      </xdr:txBody>
    </xdr:sp>
    <xdr:clientData/>
  </xdr:twoCellAnchor>
  <xdr:twoCellAnchor editAs="oneCell">
    <xdr:from>
      <xdr:col>13</xdr:col>
      <xdr:colOff>361950</xdr:colOff>
      <xdr:row>18</xdr:row>
      <xdr:rowOff>121771</xdr:rowOff>
    </xdr:from>
    <xdr:to>
      <xdr:col>14</xdr:col>
      <xdr:colOff>209550</xdr:colOff>
      <xdr:row>25</xdr:row>
      <xdr:rowOff>102721</xdr:rowOff>
    </xdr:to>
    <xdr:sp macro="" textlink="">
      <xdr:nvSpPr>
        <xdr:cNvPr id="7" name="Up Arrow 6">
          <a:extLst>
            <a:ext uri="{FF2B5EF4-FFF2-40B4-BE49-F238E27FC236}">
              <a16:creationId xmlns:a16="http://schemas.microsoft.com/office/drawing/2014/main" id="{00000000-0008-0000-0800-000007000000}"/>
            </a:ext>
          </a:extLst>
        </xdr:cNvPr>
        <xdr:cNvSpPr>
          <a:spLocks noChangeAspect="1"/>
        </xdr:cNvSpPr>
      </xdr:nvSpPr>
      <xdr:spPr>
        <a:xfrm rot="10800000">
          <a:off x="4650068" y="2945653"/>
          <a:ext cx="460188" cy="1079127"/>
        </a:xfrm>
        <a:prstGeom prst="upArrow">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0" bIns="91440" rtlCol="0" anchor="ctr" wrap="square">
          <a:normAutofit/>
        </a:bodyPr>
        <a:lstStyle/>
        <a:p>
          <a:pPr algn="ctr"/>
          <a:r>
            <a:rPr lang="fr-FR" sz="1200">
              <a:solidFill>
                <a:srgbClr val="0070C0"/>
              </a:solidFill>
            </a:rPr>
            <a:t xml:space="preserve">Diminution</a:t>
          </a:r>
        </a:p>
      </xdr:txBody>
    </xdr:sp>
    <xdr:clientData/>
  </xdr:twoCellAnchor>
  <xdr:twoCellAnchor>
    <xdr:from>
      <xdr:col>24</xdr:col>
      <xdr:colOff>126999</xdr:colOff>
      <xdr:row>0</xdr:row>
      <xdr:rowOff>156135</xdr:rowOff>
    </xdr:from>
    <xdr:to>
      <xdr:col>36</xdr:col>
      <xdr:colOff>56030</xdr:colOff>
      <xdr:row>28</xdr:row>
      <xdr:rowOff>280146</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134470</xdr:colOff>
      <xdr:row>1</xdr:row>
      <xdr:rowOff>22412</xdr:rowOff>
    </xdr:from>
    <xdr:to>
      <xdr:col>23</xdr:col>
      <xdr:colOff>526676</xdr:colOff>
      <xdr:row>19</xdr:row>
      <xdr:rowOff>78441</xdr:rowOff>
    </xdr:to>
    <xdr:graphicFrame macro="">
      <xdr:nvGraphicFramePr>
        <xdr:cNvPr id="10" name="Chart 9">
          <a:extLst>
            <a:ext uri="{FF2B5EF4-FFF2-40B4-BE49-F238E27FC236}">
              <a16:creationId xmlns:a16="http://schemas.microsoft.com/office/drawing/2014/main" id="{00000000-0008-0000-0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0</xdr:colOff>
      <xdr:row>29</xdr:row>
      <xdr:rowOff>0</xdr:rowOff>
    </xdr:from>
    <xdr:to>
      <xdr:col>19</xdr:col>
      <xdr:colOff>488576</xdr:colOff>
      <xdr:row>63</xdr:row>
      <xdr:rowOff>67796</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630706" y="5042647"/>
          <a:ext cx="4724400" cy="6219825"/>
        </a:xfrm>
        <a:prstGeom prst="rect">
          <a:avLst/>
        </a:prstGeom>
      </xdr:spPr>
    </xdr:pic>
    <xdr:clientData/>
  </xdr:twoCellAnchor>
  <xdr:twoCellAnchor>
    <xdr:from>
      <xdr:col>11</xdr:col>
      <xdr:colOff>593912</xdr:colOff>
      <xdr:row>69</xdr:row>
      <xdr:rowOff>67236</xdr:rowOff>
    </xdr:from>
    <xdr:to>
      <xdr:col>19</xdr:col>
      <xdr:colOff>493059</xdr:colOff>
      <xdr:row>74</xdr:row>
      <xdr:rowOff>100853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3619500" y="11385177"/>
          <a:ext cx="4740088" cy="8180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a:t>
          </a:r>
        </a:p>
      </xdr:txBody>
    </xdr:sp>
    <xdr:clientData/>
  </xdr:twoCellAnchor>
  <xdr:twoCellAnchor>
    <xdr:from>
      <xdr:col>28</xdr:col>
      <xdr:colOff>341777</xdr:colOff>
      <xdr:row>28</xdr:row>
      <xdr:rowOff>544605</xdr:rowOff>
    </xdr:from>
    <xdr:to>
      <xdr:col>38</xdr:col>
      <xdr:colOff>414617</xdr:colOff>
      <xdr:row>52</xdr:row>
      <xdr:rowOff>56028</xdr:rowOff>
    </xdr:to>
    <xdr:graphicFrame macro="">
      <xdr:nvGraphicFramePr>
        <xdr:cNvPr id="8" name="Chart 7">
          <a:extLst>
            <a:ext uri="{FF2B5EF4-FFF2-40B4-BE49-F238E27FC236}">
              <a16:creationId xmlns:a16="http://schemas.microsoft.com/office/drawing/2014/main" id="{F64C36E4-1045-A21B-9241-44ED5331498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50427</xdr:colOff>
      <xdr:row>51</xdr:row>
      <xdr:rowOff>152400</xdr:rowOff>
    </xdr:from>
    <xdr:to>
      <xdr:col>29</xdr:col>
      <xdr:colOff>465044</xdr:colOff>
      <xdr:row>69</xdr:row>
      <xdr:rowOff>71718</xdr:rowOff>
    </xdr:to>
    <xdr:graphicFrame macro="">
      <xdr:nvGraphicFramePr>
        <xdr:cNvPr id="9" name="Chart 8">
          <a:extLst>
            <a:ext uri="{FF2B5EF4-FFF2-40B4-BE49-F238E27FC236}">
              <a16:creationId xmlns:a16="http://schemas.microsoft.com/office/drawing/2014/main" id="{76DFA3AA-6CF8-51BD-4C93-FCE1CEBE2D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0.10928</cdr:x>
      <cdr:y>0.65475</cdr:y>
    </cdr:from>
    <cdr:to>
      <cdr:x>0.7751</cdr:x>
      <cdr:y>0.65749</cdr:y>
    </cdr:to>
    <cdr:cxnSp macro="">
      <cdr:nvCxnSpPr>
        <cdr:cNvPr id="3" name="Straight Connector 2">
          <a:extLst xmlns:a="http://schemas.openxmlformats.org/drawingml/2006/main">
            <a:ext uri="{FF2B5EF4-FFF2-40B4-BE49-F238E27FC236}">
              <a16:creationId xmlns:a16="http://schemas.microsoft.com/office/drawing/2014/main" id="{DC5F7E42-C83D-D928-12DD-6806B50DE991}"/>
            </a:ext>
          </a:extLst>
        </cdr:cNvPr>
        <cdr:cNvCxnSpPr>
          <a:cxnSpLocks xmlns:a="http://schemas.openxmlformats.org/drawingml/2006/main" noChangeAspect="1"/>
        </cdr:cNvCxnSpPr>
      </cdr:nvCxnSpPr>
      <cdr:spPr>
        <a:xfrm xmlns:a="http://schemas.openxmlformats.org/drawingml/2006/main" flipV="1">
          <a:off x="532258" y="2908300"/>
          <a:ext cx="3242817" cy="12149"/>
        </a:xfrm>
        <a:prstGeom xmlns:a="http://schemas.openxmlformats.org/drawingml/2006/main" prst="line">
          <a:avLst/>
        </a:prstGeom>
        <a:ln xmlns:a="http://schemas.openxmlformats.org/drawingml/2006/main" w="25400">
          <a:solidFill>
            <a:srgbClr val="0070C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0.76187</cdr:x>
      <cdr:y>0.6218</cdr:y>
    </cdr:from>
    <cdr:to>
      <cdr:x>0.98479</cdr:x>
      <cdr:y>0.70352</cdr:y>
    </cdr:to>
    <cdr:sp macro="" textlink="">
      <cdr:nvSpPr>
        <cdr:cNvPr id="5" name="TextBox 4"/>
        <cdr:cNvSpPr txBox="1">
          <a:spLocks xmlns:a="http://schemas.openxmlformats.org/drawingml/2006/main" noChangeAspect="1"/>
        </cdr:cNvSpPr>
      </cdr:nvSpPr>
      <cdr:spPr>
        <a:xfrm xmlns:a="http://schemas.openxmlformats.org/drawingml/2006/main">
          <a:off x="3710658" y="2761918"/>
          <a:ext cx="1085704" cy="3630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200">
              <a:solidFill>
                <a:srgbClr val="0070C0"/>
              </a:solidFill>
            </a:rPr>
            <a:t xml:space="preserve">Aucun changement</a:t>
          </a:r>
        </a:p>
      </cdr:txBody>
    </cdr:sp>
  </cdr:relSizeAnchor>
</c:userShapes>
</file>

<file path=xl/drawings/drawing14.xml><?xml version="1.0" encoding="utf-8"?>
<c:userShapes xmlns:c="http://schemas.openxmlformats.org/drawingml/2006/chart">
  <cdr:relSizeAnchor xmlns:cdr="http://schemas.openxmlformats.org/drawingml/2006/chartDrawing">
    <cdr:from>
      <cdr:x>0.13662</cdr:x>
      <cdr:y>0.0349</cdr:y>
    </cdr:from>
    <cdr:to>
      <cdr:x>0.82234</cdr:x>
      <cdr:y>0.22842</cdr:y>
    </cdr:to>
    <cdr:sp macro="" textlink="">
      <cdr:nvSpPr>
        <cdr:cNvPr id="2" name="TextBox 1"/>
        <cdr:cNvSpPr txBox="1"/>
      </cdr:nvSpPr>
      <cdr:spPr>
        <a:xfrm xmlns:a="http://schemas.openxmlformats.org/drawingml/2006/main">
          <a:off x="982383" y="157629"/>
          <a:ext cx="4930588" cy="8740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2000" b="1"/>
            <a:t xml:space="preserve">Taux d’accroissement des varroas en fonction de</a:t>
          </a:r>
        </a:p>
        <a:p xmlns:a="http://schemas.openxmlformats.org/drawingml/2006/main">
          <a:pPr algn="ctr"/>
          <a:r>
            <a:rPr lang="fr-FR" sz="2000" b="1" baseline="0"/>
            <a:t xml:space="preserve">population totale de varroas dans la ruche</a:t>
          </a:r>
        </a:p>
        <a:p xmlns:a="http://schemas.openxmlformats.org/drawingml/2006/main">
          <a:endParaRPr lang="fr-FR" sz="1100"/>
        </a:p>
      </cdr:txBody>
    </cdr:sp>
  </cdr:relSizeAnchor>
</c:userShapes>
</file>

<file path=xl/drawings/drawing15.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669158" y="1778384"/>
          <a:ext cx="749837" cy="2622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38100</xdr:colOff>
      <xdr:row>1</xdr:row>
      <xdr:rowOff>28575</xdr:rowOff>
    </xdr:from>
    <xdr:to>
      <xdr:col>9</xdr:col>
      <xdr:colOff>133350</xdr:colOff>
      <xdr:row>26</xdr:row>
      <xdr:rowOff>98425</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381000</xdr:colOff>
      <xdr:row>10</xdr:row>
      <xdr:rowOff>47625</xdr:rowOff>
    </xdr:from>
    <xdr:to>
      <xdr:col>8</xdr:col>
      <xdr:colOff>228600</xdr:colOff>
      <xdr:row>17</xdr:row>
      <xdr:rowOff>28575</xdr:rowOff>
    </xdr:to>
    <xdr:sp macro="" textlink="">
      <xdr:nvSpPr>
        <xdr:cNvPr id="3" name="Up Arrow 2">
          <a:extLst>
            <a:ext uri="{FF2B5EF4-FFF2-40B4-BE49-F238E27FC236}">
              <a16:creationId xmlns:a16="http://schemas.microsoft.com/office/drawing/2014/main" id="{00000000-0008-0000-0400-000003000000}"/>
            </a:ext>
          </a:extLst>
        </xdr:cNvPr>
        <xdr:cNvSpPr>
          <a:spLocks noChangeAspect="1"/>
        </xdr:cNvSpPr>
      </xdr:nvSpPr>
      <xdr:spPr>
        <a:xfrm>
          <a:off x="4648200" y="1635125"/>
          <a:ext cx="457200" cy="1092200"/>
        </a:xfrm>
        <a:prstGeom prst="upArrow">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0" bIns="91440" rtlCol="0" anchor="ctr" wrap="square">
          <a:normAutofit/>
        </a:bodyPr>
        <a:lstStyle/>
        <a:p>
          <a:pPr algn="ctr"/>
          <a:r>
            <a:rPr lang="fr-FR" sz="1200">
              <a:solidFill>
                <a:srgbClr val="0070C0"/>
              </a:solidFill>
            </a:rPr>
            <a:t xml:space="preserve">Augmentation</a:t>
          </a:r>
        </a:p>
      </xdr:txBody>
    </xdr:sp>
    <xdr:clientData/>
  </xdr:twoCellAnchor>
  <xdr:twoCellAnchor editAs="oneCell">
    <xdr:from>
      <xdr:col>7</xdr:col>
      <xdr:colOff>361950</xdr:colOff>
      <xdr:row>18</xdr:row>
      <xdr:rowOff>121771</xdr:rowOff>
    </xdr:from>
    <xdr:to>
      <xdr:col>8</xdr:col>
      <xdr:colOff>209550</xdr:colOff>
      <xdr:row>25</xdr:row>
      <xdr:rowOff>102721</xdr:rowOff>
    </xdr:to>
    <xdr:sp macro="" textlink="">
      <xdr:nvSpPr>
        <xdr:cNvPr id="4" name="Up Arrow 3">
          <a:extLst>
            <a:ext uri="{FF2B5EF4-FFF2-40B4-BE49-F238E27FC236}">
              <a16:creationId xmlns:a16="http://schemas.microsoft.com/office/drawing/2014/main" id="{00000000-0008-0000-0400-000004000000}"/>
            </a:ext>
          </a:extLst>
        </xdr:cNvPr>
        <xdr:cNvSpPr>
          <a:spLocks noChangeAspect="1"/>
        </xdr:cNvSpPr>
      </xdr:nvSpPr>
      <xdr:spPr>
        <a:xfrm rot="10800000">
          <a:off x="4629150" y="2979271"/>
          <a:ext cx="457200" cy="1092200"/>
        </a:xfrm>
        <a:prstGeom prst="upArrow">
          <a:avLst/>
        </a:prstGeom>
        <a:solidFill>
          <a:schemeClr val="bg1"/>
        </a:solidFill>
        <a:ln w="19050">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0" bIns="91440" rtlCol="0" anchor="ctr" wrap="square">
          <a:normAutofit/>
        </a:bodyPr>
        <a:lstStyle/>
        <a:p>
          <a:pPr algn="ctr"/>
          <a:r>
            <a:rPr lang="fr-FR" sz="1200">
              <a:solidFill>
                <a:srgbClr val="0070C0"/>
              </a:solidFill>
            </a:rPr>
            <a:t xml:space="preserve">Diminution</a:t>
          </a:r>
        </a:p>
      </xdr:txBody>
    </xdr:sp>
    <xdr:clientData/>
  </xdr:twoCellAnchor>
  <xdr:twoCellAnchor>
    <xdr:from>
      <xdr:col>18</xdr:col>
      <xdr:colOff>126999</xdr:colOff>
      <xdr:row>0</xdr:row>
      <xdr:rowOff>156135</xdr:rowOff>
    </xdr:from>
    <xdr:to>
      <xdr:col>30</xdr:col>
      <xdr:colOff>56030</xdr:colOff>
      <xdr:row>28</xdr:row>
      <xdr:rowOff>280146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134470</xdr:colOff>
      <xdr:row>1</xdr:row>
      <xdr:rowOff>22412</xdr:rowOff>
    </xdr:from>
    <xdr:to>
      <xdr:col>17</xdr:col>
      <xdr:colOff>526676</xdr:colOff>
      <xdr:row>19</xdr:row>
      <xdr:rowOff>78441</xdr:rowOff>
    </xdr:to>
    <xdr:graphicFrame macro="">
      <xdr:nvGraphicFramePr>
        <xdr:cNvPr id="6" name="Chart 5">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18</xdr:col>
      <xdr:colOff>224118</xdr:colOff>
      <xdr:row>28</xdr:row>
      <xdr:rowOff>463177</xdr:rowOff>
    </xdr:from>
    <xdr:to>
      <xdr:col>26</xdr:col>
      <xdr:colOff>100107</xdr:colOff>
      <xdr:row>65</xdr:row>
      <xdr:rowOff>64060</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250706" y="4855883"/>
          <a:ext cx="4776695" cy="6219824"/>
        </a:xfrm>
        <a:prstGeom prst="rect">
          <a:avLst/>
        </a:prstGeom>
      </xdr:spPr>
    </xdr:pic>
    <xdr:clientData/>
  </xdr:twoCellAnchor>
  <xdr:twoCellAnchor>
    <xdr:from>
      <xdr:col>5</xdr:col>
      <xdr:colOff>593912</xdr:colOff>
      <xdr:row>69</xdr:row>
      <xdr:rowOff>67236</xdr:rowOff>
    </xdr:from>
    <xdr:to>
      <xdr:col>13</xdr:col>
      <xdr:colOff>493059</xdr:colOff>
      <xdr:row>74</xdr:row>
      <xdr:rowOff>100853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3641912" y="11338486"/>
          <a:ext cx="4775947" cy="827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0.10928</cdr:x>
      <cdr:y>0.65475</cdr:y>
    </cdr:from>
    <cdr:to>
      <cdr:x>0.7751</cdr:x>
      <cdr:y>0.65749</cdr:y>
    </cdr:to>
    <cdr:cxnSp macro="">
      <cdr:nvCxnSpPr>
        <cdr:cNvPr id="3" name="Straight Connector 2">
          <a:extLst xmlns:a="http://schemas.openxmlformats.org/drawingml/2006/main">
            <a:ext uri="{FF2B5EF4-FFF2-40B4-BE49-F238E27FC236}">
              <a16:creationId xmlns:a16="http://schemas.microsoft.com/office/drawing/2014/main" id="{A68BA170-D7C2-14F2-265A-D85EB40D2083}"/>
            </a:ext>
          </a:extLst>
        </cdr:cNvPr>
        <cdr:cNvCxnSpPr>
          <a:cxnSpLocks xmlns:a="http://schemas.openxmlformats.org/drawingml/2006/main" noChangeAspect="1"/>
        </cdr:cNvCxnSpPr>
      </cdr:nvCxnSpPr>
      <cdr:spPr>
        <a:xfrm xmlns:a="http://schemas.openxmlformats.org/drawingml/2006/main" flipV="1">
          <a:off x="532258" y="2908300"/>
          <a:ext cx="3242817" cy="12149"/>
        </a:xfrm>
        <a:prstGeom xmlns:a="http://schemas.openxmlformats.org/drawingml/2006/main" prst="line">
          <a:avLst/>
        </a:prstGeom>
        <a:ln xmlns:a="http://schemas.openxmlformats.org/drawingml/2006/main" w="25400">
          <a:solidFill>
            <a:srgbClr val="0070C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0.76187</cdr:x>
      <cdr:y>0.6218</cdr:y>
    </cdr:from>
    <cdr:to>
      <cdr:x>0.98479</cdr:x>
      <cdr:y>0.70352</cdr:y>
    </cdr:to>
    <cdr:sp macro="" textlink="">
      <cdr:nvSpPr>
        <cdr:cNvPr id="5" name="TextBox 4"/>
        <cdr:cNvSpPr txBox="1">
          <a:spLocks xmlns:a="http://schemas.openxmlformats.org/drawingml/2006/main" noChangeAspect="1"/>
        </cdr:cNvSpPr>
      </cdr:nvSpPr>
      <cdr:spPr>
        <a:xfrm xmlns:a="http://schemas.openxmlformats.org/drawingml/2006/main">
          <a:off x="3710658" y="2761918"/>
          <a:ext cx="1085704" cy="3630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200">
              <a:solidFill>
                <a:srgbClr val="0070C0"/>
              </a:solidFill>
            </a:rPr>
            <a:t xml:space="preserve">Aucun changement</a:t>
          </a:r>
        </a:p>
      </cdr:txBody>
    </cdr:sp>
  </cdr:relSizeAnchor>
</c:userShapes>
</file>

<file path=xl/drawings/drawing18.xml><?xml version="1.0" encoding="utf-8"?>
<c:userShapes xmlns:c="http://schemas.openxmlformats.org/drawingml/2006/chart">
  <cdr:relSizeAnchor xmlns:cdr="http://schemas.openxmlformats.org/drawingml/2006/chartDrawing">
    <cdr:from>
      <cdr:x>0.13662</cdr:x>
      <cdr:y>0.0349</cdr:y>
    </cdr:from>
    <cdr:to>
      <cdr:x>0.82234</cdr:x>
      <cdr:y>0.22842</cdr:y>
    </cdr:to>
    <cdr:sp macro="" textlink="">
      <cdr:nvSpPr>
        <cdr:cNvPr id="2" name="TextBox 1"/>
        <cdr:cNvSpPr txBox="1"/>
      </cdr:nvSpPr>
      <cdr:spPr>
        <a:xfrm xmlns:a="http://schemas.openxmlformats.org/drawingml/2006/main">
          <a:off x="982383" y="157629"/>
          <a:ext cx="4930588" cy="8740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2000" b="1"/>
            <a:t xml:space="preserve">Taux logarithmique quotidien r des varroas en fonction de</a:t>
          </a:r>
        </a:p>
        <a:p xmlns:a="http://schemas.openxmlformats.org/drawingml/2006/main">
          <a:pPr algn="ctr"/>
          <a:r>
            <a:rPr lang="fr-FR" sz="2000" b="1" baseline="0"/>
            <a:t xml:space="preserve">la variation absolue de la population de varroas, indépendamment des pertes dues au traitement</a:t>
          </a:r>
          <a:endParaRPr lang="fr-FR" sz="1100"/>
        </a:p>
      </cdr:txBody>
    </cdr:sp>
  </cdr:relSizeAnchor>
</c:userShapes>
</file>

<file path=xl/drawings/drawing19.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669158" y="1778384"/>
          <a:ext cx="749837" cy="2622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361950</xdr:colOff>
      <xdr:row>2</xdr:row>
      <xdr:rowOff>101600</xdr:rowOff>
    </xdr:from>
    <xdr:to>
      <xdr:col>15</xdr:col>
      <xdr:colOff>501650</xdr:colOff>
      <xdr:row>34</xdr:row>
      <xdr:rowOff>50800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361950" y="419100"/>
          <a:ext cx="9283700" cy="5029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1" baseline="0"/>
            <a:t xml:space="preserve">À propos du modèle Varroa de Randy</a:t>
          </a:r>
        </a:p>
        <a:p>
          <a:r>
            <a:rPr lang="fr-FR" sz="1100" b="0" baseline="0"/>
            <a:t xml:space="preserve">Les communautés de l’apiculture et de la recherche sur l’abeille ne disposaient pas d’un modèle précis et facile à utiliser pour projeter la croissance de la population de varroas dans une ruche, qui permette une personnalisation et l’application de différents traitements.</a:t>
          </a:r>
        </a:p>
        <a:p>
          <a:r>
            <a:rPr lang="fr-FR" sz="1100" b="0" baseline="0"/>
            <a:t xml:space="preserve">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a:t>
          </a:r>
        </a:p>
        <a:p>
          <a:pPr marL="0" marR="0" indent="0" defTabSz="914400" eaLnBrk="1" fontAlgn="auto" latinLnBrk="0" hangingPunct="1">
            <a:lnSpc>
              <a:spcPct val="100000"/>
            </a:lnSpc>
            <a:spcBef>
              <a:spcPts val="0"/>
            </a:spcBef>
            <a:spcAft>
              <a:spcPts val="0"/>
            </a:spcAft>
            <a:buClrTx/>
            <a:buSzTx/>
            <a:buFontTx/>
            <a:buNone/>
            <a:tabLst/>
            <a:defRPr lang="fr-FR"/>
          </a:pPr>
          <a:r>
            <a:rPr lang="fr-FR" sz="1100" b="0" baseline="0"/>
            <a:t xml:space="preserve">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 Utilisez toujours la version la plus récente, disponible à l’adresse http://scientificbeekeeping.com/randys-varroa-model/</a:t>
          </a:r>
          <a:endParaRPr lang="fr-FR" sz="1100" b="0" baseline="0"/>
        </a:p>
        <a:p>
          <a:r>
            <a:rPr lang="fr-FR" sz="1100" b="0" baseline="0"/>
            <a:t xml:space="preserve">Je sollicite vos suggestions d’amélioration et serai heureux de montrer comment utiliser le modèle par visioconférence. J’ai protégé la plupart des cellules pour éviter les modifications accidentelles ; elles peuvent être déverrouillées avec le mot de passe sb.</a:t>
          </a:r>
          <a:endParaRPr lang="fr-FR" sz="1100">
            <a:solidFill>
              <a:schemeClr val="dk1"/>
            </a:solidFill>
            <a:effectLst/>
            <a:latin typeface="+mn-lt"/>
            <a:ea typeface="+mn-ea"/>
            <a:cs typeface="+mn-cs"/>
          </a:endParaRPr>
        </a:p>
        <a:p>
          <a:endParaRPr lang="fr-FR" sz="1100" b="0"/>
        </a:p>
        <a:p>
          <a:endParaRPr lang="fr-FR" sz="1100" b="1"/>
        </a:p>
        <a:p>
          <a:r>
            <a:rPr lang="fr-FR" sz="1100" b="1" baseline="0"/>
            <a:t xml:space="preserve">Ce modèle est en cours d’élaboration et j’y apporte régulièrement des améliorations. Voici quelques ajustements qu’il pourrait être nécessaire d’effectuer.</a:t>
          </a:r>
          <a:endParaRPr lang="fr-FR" sz="1100" b="1"/>
        </a:p>
        <a:p>
          <a:endParaRPr lang="fr-FR" sz="1100"/>
        </a:p>
        <a:p>
          <a:r>
            <a:rPr lang="fr-FR" sz="1100"/>
            <a:t xml:space="preserve">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a:t>
          </a:r>
        </a:p>
        <a:p>
          <a:endParaRPr lang="fr-FR" sz="1100" baseline="0">
            <a:solidFill>
              <a:srgbClr val="FF0000"/>
            </a:solidFill>
          </a:endParaRPr>
        </a:p>
        <a:p>
          <a:r>
            <a:rPr lang="fr-FR" sz="1100"/>
            <a:t xml:space="preserve">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a:t>
          </a:r>
        </a:p>
        <a:p>
          <a:r>
            <a:rPr lang="fr-FR" sz="1100" baseline="0">
              <a:solidFill>
                <a:srgbClr val="FF0000"/>
              </a:solidFill>
            </a:rPr>
            <a:t xml:space="preserve">BartJan Fernhout, d’Arista Bee Research, souligne qu’il faudra peut-être ajuster l’effet du VSH dans le modèle pour tenir compte du taux de mortalité accru des fondatrices après leur perturbation lors du VSH.</a:t>
          </a:r>
          <a:endParaRPr lang="fr-FR" sz="1100">
            <a:solidFill>
              <a:srgbClr val="FF0000"/>
            </a:solidFill>
          </a:endParaRPr>
        </a:p>
        <a:p>
          <a:endParaRPr lang="fr-FR" sz="1100">
            <a:solidFill>
              <a:srgbClr val="FF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0</xdr:colOff>
      <xdr:row>0</xdr:row>
      <xdr:rowOff>142872</xdr:rowOff>
    </xdr:from>
    <xdr:to>
      <xdr:col>15</xdr:col>
      <xdr:colOff>390525</xdr:colOff>
      <xdr:row>76</xdr:row>
      <xdr:rowOff>82550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609600" y="142872"/>
          <a:ext cx="8924925" cy="120046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solidFill>
                <a:schemeClr val="dk1"/>
              </a:solidFill>
              <a:effectLst/>
              <a:latin typeface="+mn-lt"/>
              <a:ea typeface="+mn-ea"/>
              <a:cs typeface="+mn-cs"/>
            </a:rPr>
            <a:t xml:space="preserve">V18 : j’ai corrigé quelques fautes de frappe apparues lorsque j’ai modifié l’affichage du graphique. J’ai également refait mes calculs de réduction des varroas due à l’essaimage ou à une rupture de couvain.</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Versions de novembre 2020 : déplacement des arrivées de varroas dans un onglet distinct, correction de diverses erreurs mineures. Passage à une numérotation des versions en chiffres. Cette version a été nommée v15.</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xml:space="preserve">Version du 26 septembre 2020 : correction d’une erreur concernant la valeur de x dans l’immigration de varroas.</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xml:space="preserve">Version du 6 juin 2020 : refonte majeure de l’affichage pour le rendre plus facile à utiliser.</a:t>
          </a:r>
        </a:p>
        <a:p>
          <a:r>
            <a:rPr lang="fr-FR" sz="1100" baseline="0">
              <a:solidFill>
                <a:schemeClr val="dk1"/>
              </a:solidFill>
              <a:effectLst/>
              <a:latin typeface="+mn-lt"/>
              <a:ea typeface="+mn-ea"/>
              <a:cs typeface="+mn-cs"/>
            </a:rPr>
            <a:t xml:space="preserve">2018–2020 : révisions mineures lors des mises à jour, notamment l’ajout d’un ajustement pour la réduction de la reproduction des varroas due à différents mécanismes de résistance.</a:t>
          </a: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18 novembre 2018 : après avoir mesuré les arrivées réelles de varroas par dérive dans mon propre rucher, j’ai ajusté les niveaux d’immigration.</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xml:space="preserve">Version du 25 août 2018 : j’ai ajouté un profil de colonie pour la Californie du Sud.</a:t>
          </a:r>
        </a:p>
        <a:p>
          <a:endParaRPr lang="fr-FR" sz="1100">
            <a:solidFill>
              <a:schemeClr val="dk1"/>
            </a:solidFill>
            <a:effectLst/>
            <a:latin typeface="+mn-lt"/>
            <a:ea typeface="+mn-ea"/>
            <a:cs typeface="+mn-cs"/>
          </a:endParaRPr>
        </a:p>
        <a:p>
          <a:r>
            <a:rPr lang="fr-FR" sz="1100" baseline="0">
              <a:solidFill>
                <a:srgbClr val="FF0000"/>
              </a:solidFill>
              <a:effectLst/>
              <a:latin typeface="+mn-lt"/>
              <a:ea typeface="+mn-ea"/>
              <a:cs typeface="+mn-cs"/>
            </a:rPr>
            <a:t xml:space="preserve">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5 avril 2018 : j’ai corrigé un problème concernant les essaims sur cadres et les paquets d’abeilles, pour lesquels le taux de croissance des varroas était auparavant sous-estimé parce que le calcul du vieillissement des varroas commençait en janvier.</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a:t>
          </a: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a:t>
          </a:r>
        </a:p>
        <a:p>
          <a:r>
            <a:rPr lang="fr-FR" sz="1100" baseline="0">
              <a:solidFill>
                <a:schemeClr val="dk1"/>
              </a:solidFill>
              <a:effectLst/>
              <a:latin typeface="+mn-lt"/>
              <a:ea typeface="+mn-ea"/>
              <a:cs typeface="+mn-cs"/>
            </a:rPr>
            <a:t xml:space="preserve">J’ai également modifié l’ajustement lié au vieillissement des varroas, car j’ai réalisé que, dans toute population initiale, une partie des varroas aurait déjà épuisé sa réserve de spermatozoïdes lors de la saison précédente.</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8 février 2018 : j’ai ajouté un nouvel onglet, Croissance comparée, afin de réfuter l’idée erronée selon laquelle les abeilles prennent de vitesse les varroas en début de saison.</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8 janvier 2018 : j’ai ajouté en V45 un commentaire sur la mortalité quotidienne des varroas phorétiques. J’ai remanié les courbes d’immigration des varroas. Quelques autres améliorations mineures.</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baseline="0">
              <a:solidFill>
                <a:schemeClr val="dk1"/>
              </a:solidFill>
              <a:effectLst/>
              <a:latin typeface="+mn-lt"/>
              <a:ea typeface="+mn-ea"/>
              <a:cs typeface="+mn-cs"/>
            </a:rPr>
            <a:t xml:space="preserve">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a:t>
          </a:r>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xml:space="preserve">Version du 12 novembre 2017 : ajout des taux de mortalité dus à la sublimation d’acide oxalique ; rétablissement de la zone de texte Hypothèses de base, qui avait disparu pour une raison inconnue.</a:t>
          </a:r>
          <a:endParaRPr lang="fr-FR" sz="1100"/>
        </a:p>
        <a:p>
          <a:endParaRPr lang="fr-FR" sz="1100"/>
        </a:p>
        <a:p>
          <a:r>
            <a:rPr lang="fr-FR" sz="1100" baseline="0"/>
            <a:t xml:space="preserve">Version du 5 novembre 2017 : j’ai repéré une erreur qui sous-estimait les valeurs de r. J’ai également ajouté une saisie pour le degré de VSH exprimé par votre lignée d’abeilles.</a:t>
          </a:r>
          <a:endParaRPr lang="fr-FR" sz="1100"/>
        </a:p>
        <a:p>
          <a:endParaRPr lang="fr-FR" sz="1100"/>
        </a:p>
        <a:p>
          <a:r>
            <a:rPr lang="fr-FR" sz="1100" baseline="0">
              <a:solidFill>
                <a:schemeClr val="tx1"/>
              </a:solidFill>
            </a:rPr>
            <a:t xml:space="preserve">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a:t>
          </a:r>
          <a:endParaRPr lang="fr-FR" sz="1100"/>
        </a:p>
        <a:p>
          <a:endParaRPr lang="fr-FR" sz="1100"/>
        </a:p>
        <a:p>
          <a:r>
            <a:rPr lang="fr-FR" sz="1100" baseline="0"/>
            <a:t xml:space="preserve">Version du 5 octobre 2017 : modification de la colonne W pour afficher la valeur nette de r plutôt que l’accroissement reproductif potentiel. Les valeurs du tableau sont masquées en cas d’effondrement de la colonie.</a:t>
          </a:r>
        </a:p>
        <a:p>
          <a:endParaRPr lang="fr-FR" sz="1100"/>
        </a:p>
        <a:p>
          <a:r>
            <a:rPr lang="fr-FR" sz="1100" baseline="0"/>
            <a:t xml:space="preserve">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a:t>
          </a:r>
        </a:p>
        <a:p>
          <a:endParaRPr lang="fr-FR" sz="1100" baseline="0"/>
        </a:p>
        <a:p>
          <a:r>
            <a:rPr lang="fr-FR" sz="1100" baseline="0"/>
            <a:t xml:space="preserve">Version du 30 septembre 2017 : j’ai inséré des commentaires dans toute la feuille Modèle principal pour expliquer les entrées et les calculs.</a:t>
          </a:r>
        </a:p>
        <a:p>
          <a:endParaRPr lang="fr-FR" sz="1100" baseline="0"/>
        </a:p>
        <a:p>
          <a:r>
            <a:rPr lang="fr-FR" sz="1100" baseline="0"/>
            <a:t xml:space="preserve">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a:t>
          </a:r>
        </a:p>
        <a:p>
          <a:endParaRPr lang="fr-FR" sz="1100" baseline="0"/>
        </a:p>
        <a:p>
          <a:r>
            <a:rPr lang="fr-FR" sz="1100" baseline="0"/>
            <a:t xml:space="preserve">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a:t>
          </a:r>
          <a:endParaRPr lang="fr-F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53974</xdr:colOff>
      <xdr:row>12</xdr:row>
      <xdr:rowOff>34924</xdr:rowOff>
    </xdr:from>
    <xdr:to>
      <xdr:col>10</xdr:col>
      <xdr:colOff>438150</xdr:colOff>
      <xdr:row>35</xdr:row>
      <xdr:rowOff>120650</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0.7792</cdr:x>
      <cdr:y>0.20844</cdr:y>
    </cdr:from>
    <cdr:to>
      <cdr:x>0.99187</cdr:x>
      <cdr:y>0.71139</cdr:y>
    </cdr:to>
    <cdr:sp macro="" textlink="">
      <cdr:nvSpPr>
        <cdr:cNvPr id="2" name="TextBox 1"/>
        <cdr:cNvSpPr txBox="1"/>
      </cdr:nvSpPr>
      <cdr:spPr>
        <a:xfrm xmlns:a="http://schemas.openxmlformats.org/drawingml/2006/main">
          <a:off x="4257676" y="784226"/>
          <a:ext cx="1162050" cy="1892300"/>
        </a:xfrm>
        <a:prstGeom xmlns:a="http://schemas.openxmlformats.org/drawingml/2006/main" prst="rect">
          <a:avLst/>
        </a:prstGeom>
        <a:ln xmlns:a="http://schemas.openxmlformats.org/drawingml/2006/main">
          <a:solidFill>
            <a:schemeClr val="tx1"/>
          </a:solidFill>
        </a:ln>
      </cdr:spPr>
      <cdr:txBody>
        <a:bodyPr xmlns:a="http://schemas.openxmlformats.org/drawingml/2006/main" vertOverflow="clip" wrap="square" lIns="0" tIns="0" rIns="0" bIns="0" rtlCol="0"/>
        <a:lstStyle xmlns:a="http://schemas.openxmlformats.org/drawingml/2006/main"/>
        <a:p xmlns:a="http://schemas.openxmlformats.org/drawingml/2006/main">
          <a:pPr algn="ctr"/>
          <a:r>
            <a:rPr lang="fr-FR" sz="1400" b="0"/>
            <a:t xml:space="preserve">Comptage initial de varroas</a:t>
          </a:r>
        </a:p>
      </cdr:txBody>
    </cdr:sp>
  </cdr:relSizeAnchor>
</c:userShapes>
</file>

<file path=xl/drawings/drawing24.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7</xdr:col>
      <xdr:colOff>360012</xdr:colOff>
      <xdr:row>19</xdr:row>
      <xdr:rowOff>3640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stretch>
          <a:fillRect/>
        </a:stretch>
      </xdr:blipFill>
      <xdr:spPr>
        <a:xfrm>
          <a:off x="609600" y="647700"/>
          <a:ext cx="4017612" cy="2432515"/>
        </a:xfrm>
        <a:prstGeom prst="rect">
          <a:avLst/>
        </a:prstGeom>
      </xdr:spPr>
    </xdr:pic>
    <xdr:clientData/>
  </xdr:twoCellAnchor>
  <xdr:twoCellAnchor>
    <xdr:from>
      <xdr:col>1</xdr:col>
      <xdr:colOff>12700</xdr:colOff>
      <xdr:row>18</xdr:row>
      <xdr:rowOff>139700</xdr:rowOff>
    </xdr:from>
    <xdr:to>
      <xdr:col>7</xdr:col>
      <xdr:colOff>31750</xdr:colOff>
      <xdr:row>26</xdr:row>
      <xdr:rowOff>139700</xdr:rowOff>
    </xdr:to>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622300" y="2997200"/>
          <a:ext cx="3676650" cy="127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0" i="0">
              <a:solidFill>
                <a:schemeClr val="dk1"/>
              </a:solidFill>
              <a:effectLst/>
              <a:latin typeface="+mn-lt"/>
              <a:ea typeface="+mn-ea"/>
              <a:cs typeface="+mn-cs"/>
            </a:rPr>
            <a:t xml:space="preserve">Karl Kunert &amp; Karl Crailsheim (1988) Variations saisonnières des teneurs en glucides, </a:t>
          </a:r>
        </a:p>
        <a:p>
          <a:r>
            <a:rPr lang="fr-FR" sz="1100" b="0" i="0">
              <a:solidFill>
                <a:schemeClr val="dk1"/>
              </a:solidFill>
              <a:effectLst/>
              <a:latin typeface="+mn-lt"/>
              <a:ea typeface="+mn-ea"/>
              <a:cs typeface="+mn-cs"/>
            </a:rPr>
            <a:t xml:space="preserve">lipides et protéines chez les ouvrières à l’émergence, et de leur mortalité, Journal of Apicultural </a:t>
          </a:r>
        </a:p>
        <a:p>
          <a:r>
            <a:rPr lang="fr-FR" sz="1100" b="0" i="0">
              <a:solidFill>
                <a:schemeClr val="dk1"/>
              </a:solidFill>
              <a:effectLst/>
              <a:latin typeface="+mn-lt"/>
              <a:ea typeface="+mn-ea"/>
              <a:cs typeface="+mn-cs"/>
            </a:rPr>
            <a:t xml:space="preserve">Research, 27:1, 13–21, DOI : </a:t>
          </a:r>
        </a:p>
        <a:p>
          <a:r>
            <a:rPr lang="fr-FR" sz="1100" b="0" i="0">
              <a:solidFill>
                <a:schemeClr val="dk1"/>
              </a:solidFill>
              <a:effectLst/>
              <a:latin typeface="+mn-lt"/>
              <a:ea typeface="+mn-ea"/>
              <a:cs typeface="+mn-cs"/>
            </a:rPr>
            <a:t>10.1080/00218839.1988.11100775</a:t>
          </a:r>
        </a:p>
        <a:p>
          <a:r>
            <a:rPr lang="fr-FR" sz="1100" b="0" i="0">
              <a:solidFill>
                <a:schemeClr val="dk1"/>
              </a:solidFill>
              <a:effectLst/>
              <a:latin typeface="+mn-lt"/>
              <a:ea typeface="+mn-ea"/>
              <a:cs typeface="+mn-cs"/>
            </a:rPr>
            <a:t xml:space="preserve">Données de Styrie (Autriche).</a:t>
          </a:r>
        </a:p>
        <a:p>
          <a:endParaRPr lang="fr-FR" sz="1100" b="0" i="0">
            <a:solidFill>
              <a:schemeClr val="dk1"/>
            </a:solidFill>
            <a:effectLst/>
            <a:latin typeface="+mn-lt"/>
            <a:ea typeface="+mn-ea"/>
            <a:cs typeface="+mn-cs"/>
          </a:endParaRPr>
        </a:p>
        <a:p>
          <a:endParaRPr lang="fr-FR" sz="1100"/>
        </a:p>
      </xdr:txBody>
    </xdr:sp>
    <xdr:clientData/>
  </xdr:twoCellAnchor>
  <xdr:twoCellAnchor editAs="oneCell">
    <xdr:from>
      <xdr:col>9</xdr:col>
      <xdr:colOff>0</xdr:colOff>
      <xdr:row>4</xdr:row>
      <xdr:rowOff>0</xdr:rowOff>
    </xdr:from>
    <xdr:to>
      <xdr:col>18</xdr:col>
      <xdr:colOff>456457</xdr:colOff>
      <xdr:row>32</xdr:row>
      <xdr:rowOff>66100</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cstate="print"/>
        <a:stretch>
          <a:fillRect/>
        </a:stretch>
      </xdr:blipFill>
      <xdr:spPr>
        <a:xfrm>
          <a:off x="5486400" y="647700"/>
          <a:ext cx="5942857" cy="4600000"/>
        </a:xfrm>
        <a:prstGeom prst="rect">
          <a:avLst/>
        </a:prstGeom>
      </xdr:spPr>
    </xdr:pic>
    <xdr:clientData/>
  </xdr:twoCellAnchor>
  <xdr:twoCellAnchor>
    <xdr:from>
      <xdr:col>9</xdr:col>
      <xdr:colOff>247650</xdr:colOff>
      <xdr:row>32</xdr:row>
      <xdr:rowOff>76200</xdr:rowOff>
    </xdr:from>
    <xdr:to>
      <xdr:col>18</xdr:col>
      <xdr:colOff>361950</xdr:colOff>
      <xdr:row>35</xdr:row>
      <xdr:rowOff>66675</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5734050" y="5257800"/>
          <a:ext cx="5600700"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Requier, F, et al. (2017) Les effets différés d’une pénurie de pollen réduisent la</a:t>
          </a:r>
        </a:p>
        <a:p>
          <a:r>
            <a:rPr lang="fr-FR" sz="1100"/>
            <a:t xml:space="preserve">survie des colonies d’abeilles en milieu agricole. J. Appl. Ecol. 54: 1161–1170.</a:t>
          </a:r>
        </a:p>
      </xdr:txBody>
    </xdr:sp>
    <xdr:clientData/>
  </xdr:twoCellAnchor>
  <xdr:twoCellAnchor>
    <xdr:from>
      <xdr:col>1</xdr:col>
      <xdr:colOff>19050</xdr:colOff>
      <xdr:row>37</xdr:row>
      <xdr:rowOff>6350</xdr:rowOff>
    </xdr:from>
    <xdr:to>
      <xdr:col>8</xdr:col>
      <xdr:colOff>38100</xdr:colOff>
      <xdr:row>47</xdr:row>
      <xdr:rowOff>19050</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628650" y="5880100"/>
          <a:ext cx="4286250" cy="1600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b="1" baseline="0"/>
            <a:t xml:space="preserve">Ajustement du taux de mortalité des varroas</a:t>
          </a:r>
          <a:endParaRPr lang="fr-FR" b="1"/>
        </a:p>
        <a:p>
          <a:r>
            <a:rPr lang="fr-FR"/>
            <a:t xml:space="preserve">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a:t>
          </a:r>
          <a:endParaRPr lang="fr-FR" sz="1100"/>
        </a:p>
      </xdr:txBody>
    </xdr:sp>
    <xdr:clientData/>
  </xdr:twoCellAnchor>
  <xdr:twoCellAnchor editAs="oneCell">
    <xdr:from>
      <xdr:col>9</xdr:col>
      <xdr:colOff>0</xdr:colOff>
      <xdr:row>37</xdr:row>
      <xdr:rowOff>0</xdr:rowOff>
    </xdr:from>
    <xdr:to>
      <xdr:col>13</xdr:col>
      <xdr:colOff>362094</xdr:colOff>
      <xdr:row>64</xdr:row>
      <xdr:rowOff>101826</xdr:rowOff>
    </xdr:to>
    <xdr:pic>
      <xdr:nvPicPr>
        <xdr:cNvPr id="7" name="Pictur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3" cstate="print"/>
        <a:stretch>
          <a:fillRect/>
        </a:stretch>
      </xdr:blipFill>
      <xdr:spPr>
        <a:xfrm>
          <a:off x="5486400" y="5873750"/>
          <a:ext cx="2800494" cy="4394426"/>
        </a:xfrm>
        <a:prstGeom prst="rect">
          <a:avLst/>
        </a:prstGeom>
      </xdr:spPr>
    </xdr:pic>
    <xdr:clientData/>
  </xdr:twoCellAnchor>
  <xdr:twoCellAnchor editAs="oneCell">
    <xdr:from>
      <xdr:col>1</xdr:col>
      <xdr:colOff>0</xdr:colOff>
      <xdr:row>49</xdr:row>
      <xdr:rowOff>0</xdr:rowOff>
    </xdr:from>
    <xdr:to>
      <xdr:col>9</xdr:col>
      <xdr:colOff>489226</xdr:colOff>
      <xdr:row>75</xdr:row>
      <xdr:rowOff>6563</xdr:rowOff>
    </xdr:to>
    <xdr:pic>
      <xdr:nvPicPr>
        <xdr:cNvPr id="8" name="Picture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4" cstate="print"/>
        <a:stretch>
          <a:fillRect/>
        </a:stretch>
      </xdr:blipFill>
      <xdr:spPr>
        <a:xfrm>
          <a:off x="609600" y="7778750"/>
          <a:ext cx="5366026" cy="4140413"/>
        </a:xfrm>
        <a:prstGeom prst="rect">
          <a:avLst/>
        </a:prstGeom>
      </xdr:spPr>
    </xdr:pic>
    <xdr:clientData/>
  </xdr:twoCellAnchor>
  <xdr:twoCellAnchor>
    <xdr:from>
      <xdr:col>1</xdr:col>
      <xdr:colOff>57150</xdr:colOff>
      <xdr:row>75</xdr:row>
      <xdr:rowOff>0</xdr:rowOff>
    </xdr:from>
    <xdr:to>
      <xdr:col>9</xdr:col>
      <xdr:colOff>558800</xdr:colOff>
      <xdr:row>80</xdr:row>
      <xdr:rowOff>44450</xdr:rowOff>
    </xdr:to>
    <xdr:sp macro="" textlink="">
      <xdr:nvSpPr>
        <xdr:cNvPr id="13" name="TextBox 12">
          <a:extLst>
            <a:ext uri="{FF2B5EF4-FFF2-40B4-BE49-F238E27FC236}">
              <a16:creationId xmlns:a16="http://schemas.microsoft.com/office/drawing/2014/main" id="{00000000-0008-0000-0A00-00000D000000}"/>
            </a:ext>
          </a:extLst>
        </xdr:cNvPr>
        <xdr:cNvSpPr txBox="1"/>
      </xdr:nvSpPr>
      <xdr:spPr>
        <a:xfrm>
          <a:off x="666750" y="11912600"/>
          <a:ext cx="5378450"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1" i="0">
              <a:solidFill>
                <a:schemeClr val="dk1"/>
              </a:solidFill>
              <a:effectLst/>
              <a:latin typeface="+mn-lt"/>
              <a:ea typeface="+mn-ea"/>
              <a:cs typeface="+mn-cs"/>
            </a:rPr>
            <a:t xml:space="preserve">Comment le niveau d’infestation par Varroa destructor influence la répartition des cellules multi-infestées dans le couvain d’ouvrières d’Apis mellifera</a:t>
          </a:r>
          <a:endParaRPr lang="fr-FR" sz="1100" b="1" i="0">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hlinkClick xmlns:r="http://schemas.openxmlformats.org/officeDocument/2006/relationships" r:id=""/>
            </a:rPr>
            <a:t xml:space="preserve">par Ignazio Floris*, Michelina Pusceddu et Alberto Satta. Vet. Sci. 2020, 7(3), 136 ; https://doi.org/10.3390/vetsci7030136</a:t>
          </a:r>
          <a:endParaRPr lang="fr-FR" sz="1100" b="0" i="0">
            <a:solidFill>
              <a:schemeClr val="dk1"/>
            </a:solidFill>
            <a:effectLst/>
            <a:latin typeface="+mn-lt"/>
            <a:ea typeface="+mn-ea"/>
            <a:cs typeface="+mn-cs"/>
          </a:endParaRPr>
        </a:p>
        <a:p>
          <a:endParaRPr lang="fr-FR" sz="1100"/>
        </a:p>
      </xdr:txBody>
    </xdr:sp>
    <xdr:clientData/>
  </xdr:twoCellAnchor>
  <xdr:twoCellAnchor editAs="oneCell">
    <xdr:from>
      <xdr:col>19</xdr:col>
      <xdr:colOff>0</xdr:colOff>
      <xdr:row>3</xdr:row>
      <xdr:rowOff>0</xdr:rowOff>
    </xdr:from>
    <xdr:to>
      <xdr:col>30</xdr:col>
      <xdr:colOff>420094</xdr:colOff>
      <xdr:row>48</xdr:row>
      <xdr:rowOff>58175</xdr:rowOff>
    </xdr:to>
    <xdr:pic>
      <xdr:nvPicPr>
        <xdr:cNvPr id="10" name="Picture 9">
          <a:extLst>
            <a:ext uri="{FF2B5EF4-FFF2-40B4-BE49-F238E27FC236}">
              <a16:creationId xmlns:a16="http://schemas.microsoft.com/office/drawing/2014/main" id="{3C515917-DD24-FDA7-9BA6-BC013E29351F}"/>
            </a:ext>
          </a:extLst>
        </xdr:cNvPr>
        <xdr:cNvPicPr>
          <a:picLocks noChangeAspect="1"/>
        </xdr:cNvPicPr>
      </xdr:nvPicPr>
      <xdr:blipFill>
        <a:blip xmlns:r="http://schemas.openxmlformats.org/officeDocument/2006/relationships" r:embed="rId5"/>
        <a:stretch>
          <a:fillRect/>
        </a:stretch>
      </xdr:blipFill>
      <xdr:spPr>
        <a:xfrm>
          <a:off x="11582400" y="485775"/>
          <a:ext cx="7125694" cy="7344800"/>
        </a:xfrm>
        <a:prstGeom prst="rect">
          <a:avLst/>
        </a:prstGeom>
      </xdr:spPr>
    </xdr:pic>
    <xdr:clientData/>
  </xdr:twoCellAnchor>
  <xdr:twoCellAnchor>
    <xdr:from>
      <xdr:col>20</xdr:col>
      <xdr:colOff>590550</xdr:colOff>
      <xdr:row>49</xdr:row>
      <xdr:rowOff>133350</xdr:rowOff>
    </xdr:from>
    <xdr:to>
      <xdr:col>28</xdr:col>
      <xdr:colOff>552450</xdr:colOff>
      <xdr:row>53</xdr:row>
      <xdr:rowOff>28575</xdr:rowOff>
    </xdr:to>
    <xdr:sp macro="" textlink="">
      <xdr:nvSpPr>
        <xdr:cNvPr id="11" name="TextBox 10">
          <a:extLst>
            <a:ext uri="{FF2B5EF4-FFF2-40B4-BE49-F238E27FC236}">
              <a16:creationId xmlns:a16="http://schemas.microsoft.com/office/drawing/2014/main" id="{E02A6FEB-F287-4D75-CD35-752EADF4AA9E}"/>
            </a:ext>
          </a:extLst>
        </xdr:cNvPr>
        <xdr:cNvSpPr txBox="1"/>
      </xdr:nvSpPr>
      <xdr:spPr>
        <a:xfrm>
          <a:off x="12782550" y="8067675"/>
          <a:ext cx="4838700" cy="542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0" i="0">
              <a:solidFill>
                <a:schemeClr val="dk1"/>
              </a:solidFill>
              <a:effectLst/>
              <a:latin typeface="+mn-lt"/>
              <a:ea typeface="+mn-ea"/>
              <a:cs typeface="+mn-cs"/>
            </a:rPr>
            <a:t xml:space="preserve">Les effets différés d’une pénurie de pollen réduisent la survie des colonies d’abeilles en milieu agricole</a:t>
          </a:r>
        </a:p>
        <a:p>
          <a:r>
            <a:rPr lang="fr-FR" sz="1100" b="0" i="0">
              <a:solidFill>
                <a:schemeClr val="dk1"/>
              </a:solidFill>
              <a:effectLst/>
              <a:latin typeface="+mn-lt"/>
              <a:ea typeface="+mn-ea"/>
              <a:cs typeface="+mn-cs"/>
            </a:rPr>
            <a:t xml:space="preserve">Juillet 2017</a:t>
          </a:r>
        </a:p>
        <a:p>
          <a:r>
            <a:rPr lang="fr-FR" sz="1100" b="0" i="0" u="sng">
              <a:solidFill>
                <a:schemeClr val="dk1"/>
              </a:solidFill>
              <a:effectLst/>
              <a:latin typeface="+mn-lt"/>
              <a:ea typeface="+mn-ea"/>
              <a:cs typeface="+mn-cs"/>
              <a:hlinkClick xmlns:r="http://schemas.openxmlformats.org/officeDocument/2006/relationships" r:id=""/>
            </a:rPr>
            <a:t xml:space="preserve">Journal of Applied Ecology 54(4):1161-1170</a:t>
          </a:r>
        </a:p>
        <a:p>
          <a:endParaRPr lang="fr-FR" sz="1100"/>
        </a:p>
      </xdr:txBody>
    </xdr:sp>
    <xdr:clientData/>
  </xdr:twoCellAnchor>
  <xdr:twoCellAnchor>
    <xdr:from>
      <xdr:col>1</xdr:col>
      <xdr:colOff>114300</xdr:colOff>
      <xdr:row>80</xdr:row>
      <xdr:rowOff>57150</xdr:rowOff>
    </xdr:from>
    <xdr:to>
      <xdr:col>9</xdr:col>
      <xdr:colOff>371475</xdr:colOff>
      <xdr:row>82</xdr:row>
      <xdr:rowOff>66675</xdr:rowOff>
    </xdr:to>
    <xdr:sp macro="" textlink="">
      <xdr:nvSpPr>
        <xdr:cNvPr id="9" name="TextBox 8">
          <a:extLst>
            <a:ext uri="{FF2B5EF4-FFF2-40B4-BE49-F238E27FC236}">
              <a16:creationId xmlns:a16="http://schemas.microsoft.com/office/drawing/2014/main" id="{2B17A92C-C128-0A9A-AFC0-373C7E45BA13}"/>
            </a:ext>
          </a:extLst>
        </xdr:cNvPr>
        <xdr:cNvSpPr txBox="1"/>
      </xdr:nvSpPr>
      <xdr:spPr>
        <a:xfrm>
          <a:off x="723900" y="13011150"/>
          <a:ext cx="51339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Il faut intégrer les éléments ci-dessus</a:t>
          </a:r>
        </a:p>
        <a:p>
          <a:r>
            <a:rPr lang="fr-FR" sz="1100"/>
            <a:t xml:space="preserve">https://www.mdpi.com/2306-7381/7/3/136</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366889</xdr:colOff>
      <xdr:row>2</xdr:row>
      <xdr:rowOff>484187</xdr:rowOff>
    </xdr:from>
    <xdr:to>
      <xdr:col>28</xdr:col>
      <xdr:colOff>331611</xdr:colOff>
      <xdr:row>18</xdr:row>
      <xdr:rowOff>155221</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34</xdr:col>
      <xdr:colOff>99218</xdr:colOff>
      <xdr:row>60</xdr:row>
      <xdr:rowOff>37042</xdr:rowOff>
    </xdr:from>
    <xdr:to>
      <xdr:col>41</xdr:col>
      <xdr:colOff>269876</xdr:colOff>
      <xdr:row>79</xdr:row>
      <xdr:rowOff>148167</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13415168" y="10959042"/>
          <a:ext cx="2666208" cy="320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baseline="0"/>
            <a:t xml:space="preserve">Comme le montre le tableau de gauche, si le taux logarithmique quotidien r est abaissé à 0,002, comme dans une lignée d’abeilles très résistante aux varroas, il faudrait environ un an pour que la population de varroas d’une ruche double (sans tenir compte de l’immigration).</a:t>
          </a:r>
        </a:p>
        <a:p>
          <a:endParaRPr lang="fr-FR" sz="1100" baseline="0"/>
        </a:p>
        <a:p>
          <a:r>
            <a:rPr lang="fr-FR" sz="1100" baseline="0"/>
            <a:t xml:space="preserve">Dans toutes les lignées, le taux d’accroissement est contrebalancé par le taux de mortalité des varroas, lié au vieillissement, au toilettage, à l’émigration et aux traitements.</a:t>
          </a:r>
        </a:p>
        <a:p>
          <a:endParaRPr lang="fr-FR" sz="1100" baseline="0"/>
        </a:p>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Le point essentiel est que les varroas ne peuvent augmenter que pendant les mois où la colonie élève du couvain ; le reste de l’année, seul le taux de perte des varroas s’applique. C’est pourquoi les varroas posent davantage de problèmes dans les régions aux hivers courts.</a:t>
          </a:r>
        </a:p>
        <a:p>
          <a:pPr marL="0" marR="0" indent="0" defTabSz="914400" eaLnBrk="1" fontAlgn="auto" latinLnBrk="0" hangingPunct="1">
            <a:lnSpc>
              <a:spcPct val="100000"/>
            </a:lnSpc>
            <a:spcBef>
              <a:spcPts val="0"/>
            </a:spcBef>
            <a:spcAft>
              <a:spcPts val="0"/>
            </a:spcAft>
            <a:buClrTx/>
            <a:buSzTx/>
            <a:buFontTx/>
            <a:buNone/>
            <a:tabLst/>
            <a:defRPr lang="fr-FR"/>
          </a:pPr>
          <a:endParaRPr lang="fr-FR" sz="1100" baseline="0">
            <a:solidFill>
              <a:schemeClr val="dk1"/>
            </a:solidFill>
            <a:effectLst/>
            <a:latin typeface="+mn-lt"/>
            <a:ea typeface="+mn-ea"/>
            <a:cs typeface="+mn-cs"/>
          </a:endParaRPr>
        </a:p>
      </xdr:txBody>
    </xdr:sp>
    <xdr:clientData/>
  </xdr:twoCellAnchor>
  <xdr:twoCellAnchor>
    <xdr:from>
      <xdr:col>139</xdr:col>
      <xdr:colOff>0</xdr:colOff>
      <xdr:row>59</xdr:row>
      <xdr:rowOff>63500</xdr:rowOff>
    </xdr:from>
    <xdr:to>
      <xdr:col>157</xdr:col>
      <xdr:colOff>592665</xdr:colOff>
      <xdr:row>66</xdr:row>
      <xdr:rowOff>31750</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85509100" y="10820400"/>
          <a:ext cx="12054415" cy="1117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baseline="0">
              <a:solidFill>
                <a:schemeClr val="dk1"/>
              </a:solidFill>
              <a:effectLst/>
              <a:latin typeface="+mn-lt"/>
              <a:ea typeface="+mn-ea"/>
              <a:cs typeface="+mn-cs"/>
            </a:rPr>
            <a:t xml:space="preserve">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a:t>
          </a:r>
          <a:endParaRPr lang="fr-F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De Ruijter, A (1987). Reproduction de Varroa jacobsoni au cours de cycles successifs de couvain de l’abeille mellifère. Apidologie 18(4): 321–326.</a:t>
          </a:r>
          <a:endParaRPr lang="fr-FR" sz="1100"/>
        </a:p>
        <a:p>
          <a:r>
            <a:rPr lang="fr-FR" sz="1100"/>
            <a:t xml:space="preserve">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a:t>
          </a:r>
        </a:p>
      </xdr:txBody>
    </xdr:sp>
    <xdr:clientData/>
  </xdr:twoCellAnchor>
  <xdr:oneCellAnchor>
    <xdr:from>
      <xdr:col>143</xdr:col>
      <xdr:colOff>42333</xdr:colOff>
      <xdr:row>64</xdr:row>
      <xdr:rowOff>116417</xdr:rowOff>
    </xdr:from>
    <xdr:ext cx="184731" cy="264560"/>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88478783" y="116924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rmAutofit/>
        </a:bodyPr>
        <a:lstStyle/>
        <a:p>
          <a:endParaRPr lang="fr-FR" sz="1100"/>
        </a:p>
      </xdr:txBody>
    </xdr:sp>
    <xdr:clientData/>
  </xdr:oneCellAnchor>
  <xdr:twoCellAnchor>
    <xdr:from>
      <xdr:col>43</xdr:col>
      <xdr:colOff>0</xdr:colOff>
      <xdr:row>17</xdr:row>
      <xdr:rowOff>395111</xdr:rowOff>
    </xdr:from>
    <xdr:to>
      <xdr:col>47</xdr:col>
      <xdr:colOff>42333</xdr:colOff>
      <xdr:row>17</xdr:row>
      <xdr:rowOff>627944</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16446500" y="3881261"/>
          <a:ext cx="1312333"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000"/>
            <a:t xml:space="preserve">© Randy Oliver 2017</a:t>
          </a:r>
        </a:p>
      </xdr:txBody>
    </xdr:sp>
    <xdr:clientData/>
  </xdr:twoCellAnchor>
  <xdr:twoCellAnchor>
    <xdr:from>
      <xdr:col>68</xdr:col>
      <xdr:colOff>539750</xdr:colOff>
      <xdr:row>78</xdr:row>
      <xdr:rowOff>74083</xdr:rowOff>
    </xdr:from>
    <xdr:to>
      <xdr:col>75</xdr:col>
      <xdr:colOff>31750</xdr:colOff>
      <xdr:row>80</xdr:row>
      <xdr:rowOff>84667</xdr:rowOff>
    </xdr:to>
    <xdr:cxnSp macro="">
      <xdr:nvCxnSpPr>
        <xdr:cNvPr id="7" name="Straight Arrow Connector 6">
          <a:extLst>
            <a:ext uri="{FF2B5EF4-FFF2-40B4-BE49-F238E27FC236}">
              <a16:creationId xmlns:a16="http://schemas.microsoft.com/office/drawing/2014/main" id="{00000000-0008-0000-0B00-000007000000}"/>
            </a:ext>
          </a:extLst>
        </xdr:cNvPr>
        <xdr:cNvCxnSpPr/>
      </xdr:nvCxnSpPr>
      <xdr:spPr>
        <a:xfrm flipH="1" flipV="1">
          <a:off x="31870650" y="13923433"/>
          <a:ext cx="4165600" cy="334434"/>
        </a:xfrm>
        <a:prstGeom prst="straightConnector1">
          <a:avLst/>
        </a:prstGeom>
        <a:ln w="1905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190500</xdr:colOff>
      <xdr:row>86</xdr:row>
      <xdr:rowOff>83344</xdr:rowOff>
    </xdr:from>
    <xdr:to>
      <xdr:col>95</xdr:col>
      <xdr:colOff>451909</xdr:colOff>
      <xdr:row>106</xdr:row>
      <xdr:rowOff>98425</xdr:rowOff>
    </xdr:to>
    <xdr:graphicFrame macro="">
      <xdr:nvGraphicFramePr>
        <xdr:cNvPr id="8" name="Chart 7">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0</xdr:row>
      <xdr:rowOff>49388</xdr:rowOff>
    </xdr:from>
    <xdr:to>
      <xdr:col>28</xdr:col>
      <xdr:colOff>352777</xdr:colOff>
      <xdr:row>2</xdr:row>
      <xdr:rowOff>409221</xdr:rowOff>
    </xdr:to>
    <xdr:sp macro="" textlink="">
      <xdr:nvSpPr>
        <xdr:cNvPr id="9" name="TextBox 8">
          <a:extLst>
            <a:ext uri="{FF2B5EF4-FFF2-40B4-BE49-F238E27FC236}">
              <a16:creationId xmlns:a16="http://schemas.microsoft.com/office/drawing/2014/main" id="{00000000-0008-0000-0B00-000009000000}"/>
            </a:ext>
          </a:extLst>
        </xdr:cNvPr>
        <xdr:cNvSpPr txBox="1"/>
      </xdr:nvSpPr>
      <xdr:spPr>
        <a:xfrm>
          <a:off x="183444" y="49388"/>
          <a:ext cx="10985500" cy="6843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eaLnBrk="1" fontAlgn="auto" latinLnBrk="0" hangingPunct="1"/>
          <a:r>
            <a:rPr lang="fr-FR" sz="1100" b="0" baseline="0">
              <a:solidFill>
                <a:schemeClr val="dk1"/>
              </a:solidFill>
              <a:effectLst/>
              <a:latin typeface="+mn-lt"/>
              <a:ea typeface="+mn-ea"/>
              <a:cs typeface="+mn-cs"/>
            </a:rPr>
            <a:t xml:space="preserve">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a:t>
          </a:r>
          <a:endParaRPr lang="fr-FR" sz="1200">
            <a:effectLst/>
          </a:endParaRPr>
        </a:p>
      </xdr:txBody>
    </xdr:sp>
    <xdr:clientData/>
  </xdr:twoCellAnchor>
  <xdr:twoCellAnchor>
    <xdr:from>
      <xdr:col>22</xdr:col>
      <xdr:colOff>49389</xdr:colOff>
      <xdr:row>2</xdr:row>
      <xdr:rowOff>606777</xdr:rowOff>
    </xdr:from>
    <xdr:to>
      <xdr:col>26</xdr:col>
      <xdr:colOff>165804</xdr:colOff>
      <xdr:row>2</xdr:row>
      <xdr:rowOff>1104193</xdr:rowOff>
    </xdr:to>
    <xdr:sp macro="" textlink="">
      <xdr:nvSpPr>
        <xdr:cNvPr id="10" name="TextBox 9">
          <a:extLst>
            <a:ext uri="{FF2B5EF4-FFF2-40B4-BE49-F238E27FC236}">
              <a16:creationId xmlns:a16="http://schemas.microsoft.com/office/drawing/2014/main" id="{00000000-0008-0000-0B00-00000A000000}"/>
            </a:ext>
          </a:extLst>
        </xdr:cNvPr>
        <xdr:cNvSpPr txBox="1"/>
      </xdr:nvSpPr>
      <xdr:spPr>
        <a:xfrm>
          <a:off x="8691739" y="930627"/>
          <a:ext cx="1589615" cy="497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 ScientificBeekeeping</a:t>
          </a:r>
        </a:p>
      </xdr:txBody>
    </xdr:sp>
    <xdr:clientData/>
  </xdr:twoCellAnchor>
  <xdr:twoCellAnchor>
    <xdr:from>
      <xdr:col>1</xdr:col>
      <xdr:colOff>0</xdr:colOff>
      <xdr:row>24</xdr:row>
      <xdr:rowOff>42333</xdr:rowOff>
    </xdr:from>
    <xdr:to>
      <xdr:col>29</xdr:col>
      <xdr:colOff>0</xdr:colOff>
      <xdr:row>28</xdr:row>
      <xdr:rowOff>112889</xdr:rowOff>
    </xdr:to>
    <xdr:sp macro="" textlink="">
      <xdr:nvSpPr>
        <xdr:cNvPr id="11" name="TextBox 10">
          <a:extLst>
            <a:ext uri="{FF2B5EF4-FFF2-40B4-BE49-F238E27FC236}">
              <a16:creationId xmlns:a16="http://schemas.microsoft.com/office/drawing/2014/main" id="{00000000-0008-0000-0B00-00000B000000}"/>
            </a:ext>
          </a:extLst>
        </xdr:cNvPr>
        <xdr:cNvSpPr txBox="1"/>
      </xdr:nvSpPr>
      <xdr:spPr>
        <a:xfrm>
          <a:off x="184150" y="4874683"/>
          <a:ext cx="11036300" cy="7246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rmAutofit/>
        </a:bodyPr>
        <a:lstStyle/>
        <a:p>
          <a:pPr marL="0" marR="0" indent="0" defTabSz="914400" eaLnBrk="1" fontAlgn="auto" latinLnBrk="0" hangingPunct="1">
            <a:lnSpc>
              <a:spcPct val="100000"/>
            </a:lnSpc>
            <a:spcBef>
              <a:spcPts val="0"/>
            </a:spcBef>
            <a:spcAft>
              <a:spcPts val="0"/>
            </a:spcAft>
            <a:buClrTx/>
            <a:buSzTx/>
            <a:buFontTx/>
            <a:buNone/>
            <a:tabLst/>
            <a:defRPr lang="fr-FR"/>
          </a:pPr>
          <a:r>
            <a:rPr lang="fr-FR" sz="1100">
              <a:solidFill>
                <a:schemeClr val="dk1"/>
              </a:solidFill>
              <a:effectLst/>
              <a:latin typeface="+mn-lt"/>
              <a:ea typeface="+mn-ea"/>
              <a:cs typeface="+mn-cs"/>
            </a:rPr>
            <a:t xml:space="preserve">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 L’effondrement est indiqué lorsque la charge en varroas et en virus dépasse les capacités de la colonie. Il est plus facile et préférable de maintenir préventivement une faible infestation que de chercher à la réduire plus tard !</a:t>
          </a:r>
          <a:endParaRPr lang="fr-FR" sz="1100">
            <a:solidFill>
              <a:schemeClr val="tx1"/>
            </a:solidFill>
          </a:endParaRPr>
        </a:p>
      </xdr:txBody>
    </xdr:sp>
    <xdr:clientData/>
  </xdr:twoCellAnchor>
  <xdr:twoCellAnchor>
    <xdr:from>
      <xdr:col>14</xdr:col>
      <xdr:colOff>0</xdr:colOff>
      <xdr:row>28</xdr:row>
      <xdr:rowOff>141111</xdr:rowOff>
    </xdr:from>
    <xdr:to>
      <xdr:col>31</xdr:col>
      <xdr:colOff>7056</xdr:colOff>
      <xdr:row>32</xdr:row>
      <xdr:rowOff>148167</xdr:rowOff>
    </xdr:to>
    <xdr:sp macro="" textlink="">
      <xdr:nvSpPr>
        <xdr:cNvPr id="12" name="TextBox 11">
          <a:extLst>
            <a:ext uri="{FF2B5EF4-FFF2-40B4-BE49-F238E27FC236}">
              <a16:creationId xmlns:a16="http://schemas.microsoft.com/office/drawing/2014/main" id="{00000000-0008-0000-0B00-00000C000000}"/>
            </a:ext>
          </a:extLst>
        </xdr:cNvPr>
        <xdr:cNvSpPr txBox="1"/>
      </xdr:nvSpPr>
      <xdr:spPr>
        <a:xfrm>
          <a:off x="5695950" y="5627511"/>
          <a:ext cx="6299906" cy="66745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a:t>
          </a:r>
        </a:p>
      </xdr:txBody>
    </xdr:sp>
    <xdr:clientData/>
  </xdr:twoCellAnchor>
  <xdr:twoCellAnchor>
    <xdr:from>
      <xdr:col>31</xdr:col>
      <xdr:colOff>35278</xdr:colOff>
      <xdr:row>2</xdr:row>
      <xdr:rowOff>-1</xdr:rowOff>
    </xdr:from>
    <xdr:to>
      <xdr:col>42</xdr:col>
      <xdr:colOff>42334</xdr:colOff>
      <xdr:row>22</xdr:row>
      <xdr:rowOff>35278</xdr:rowOff>
    </xdr:to>
    <xdr:sp macro="" textlink="">
      <xdr:nvSpPr>
        <xdr:cNvPr id="13" name="TextBox 12">
          <a:extLst>
            <a:ext uri="{FF2B5EF4-FFF2-40B4-BE49-F238E27FC236}">
              <a16:creationId xmlns:a16="http://schemas.microsoft.com/office/drawing/2014/main" id="{00000000-0008-0000-0B00-00000D000000}"/>
            </a:ext>
          </a:extLst>
        </xdr:cNvPr>
        <xdr:cNvSpPr txBox="1"/>
      </xdr:nvSpPr>
      <xdr:spPr>
        <a:xfrm>
          <a:off x="12460111" y="388055"/>
          <a:ext cx="4155723" cy="46284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pPr eaLnBrk="1" fontAlgn="auto" latinLnBrk="0" hangingPunct="1"/>
          <a:r>
            <a:rPr lang="fr-FR" sz="1200" b="0" baseline="0">
              <a:solidFill>
                <a:schemeClr val="dk1"/>
              </a:solidFill>
              <a:effectLst/>
              <a:latin typeface="+mn-lt"/>
              <a:ea typeface="+mn-ea"/>
              <a:cs typeface="+mn-cs"/>
            </a:rPr>
            <a:t xml:space="preserve">Merci à l’apiculteur Rick pour cette idée. Nous pouvons estimer approximativement l’effet sur l’infestation par les varroas en ramenant leur reproduction à zéro pendant les deux périodes de 15 jours qui suivent le retrait de la reine.</a:t>
          </a:r>
          <a:endParaRPr lang="fr-FR" sz="1200">
            <a:effectLst/>
          </a:endParaRPr>
        </a:p>
        <a:p>
          <a:pPr eaLnBrk="1" fontAlgn="auto" latinLnBrk="0" hangingPunct="1"/>
          <a:endParaRPr lang="fr-FR" sz="1200" b="0" baseline="0">
            <a:solidFill>
              <a:srgbClr val="C00000"/>
            </a:solidFill>
            <a:effectLst/>
            <a:latin typeface="+mn-lt"/>
            <a:ea typeface="+mn-ea"/>
            <a:cs typeface="+mn-cs"/>
          </a:endParaRPr>
        </a:p>
        <a:p>
          <a:pPr eaLnBrk="1" fontAlgn="auto" latinLnBrk="0" hangingPunct="1"/>
          <a:r>
            <a:rPr lang="fr-FR" sz="1200" b="1" baseline="0">
              <a:solidFill>
                <a:srgbClr val="C00000"/>
              </a:solidFill>
              <a:effectLst/>
              <a:latin typeface="+mn-lt"/>
              <a:ea typeface="+mn-ea"/>
              <a:cs typeface="+mn-cs"/>
            </a:rPr>
            <a:t xml:space="preserve">Voici comment insérer une rupture de couvain dans la simulation :</a:t>
          </a:r>
        </a:p>
        <a:p>
          <a:pPr eaLnBrk="1" fontAlgn="auto" latinLnBrk="0" hangingPunct="1"/>
          <a:r>
            <a:rPr lang="fr-FR" sz="1200" b="0" baseline="0">
              <a:solidFill>
                <a:srgbClr val="C00000"/>
              </a:solidFill>
              <a:effectLst/>
              <a:latin typeface="+mn-lt"/>
              <a:ea typeface="+mn-ea"/>
              <a:cs typeface="+mn-cs"/>
            </a:rPr>
            <a:t xml:space="preserve">Aller à la colonne AD, immédiatement à gauche.</a:t>
          </a:r>
        </a:p>
        <a:p>
          <a:pPr eaLnBrk="1" fontAlgn="auto" latinLnBrk="0" hangingPunct="1"/>
          <a:r>
            <a:rPr lang="fr-FR" sz="1200" b="0" baseline="0">
              <a:solidFill>
                <a:srgbClr val="C00000"/>
              </a:solidFill>
              <a:effectLst/>
              <a:latin typeface="+mn-lt"/>
              <a:ea typeface="+mn-ea"/>
              <a:cs typeface="+mn-cs"/>
            </a:rPr>
            <a:t xml:space="preserve">Saisissez « B » dans les deux cellules correspondant le mieux à la période pendant laquelle la colonie est sans reine en ponte.</a:t>
          </a:r>
        </a:p>
        <a:p>
          <a:pPr marL="0" marR="0" indent="0" defTabSz="914400" eaLnBrk="1" fontAlgn="auto" latinLnBrk="0" hangingPunct="1">
            <a:lnSpc>
              <a:spcPct val="100000"/>
            </a:lnSpc>
            <a:spcBef>
              <a:spcPts val="0"/>
            </a:spcBef>
            <a:spcAft>
              <a:spcPts val="0"/>
            </a:spcAft>
            <a:buClrTx/>
            <a:buSzTx/>
            <a:buFontTx/>
            <a:buNone/>
            <a:tabLst/>
            <a:defRPr lang="fr-FR"/>
          </a:pPr>
          <a:r>
            <a:rPr lang="fr-FR" sz="1200" b="0" i="1" baseline="0">
              <a:solidFill>
                <a:schemeClr val="tx1"/>
              </a:solidFill>
              <a:effectLst/>
              <a:latin typeface="+mn-lt"/>
              <a:ea typeface="+mn-ea"/>
              <a:cs typeface="+mn-cs"/>
            </a:rPr>
            <a:t xml:space="preserve">Les ruptures de couvain apparaîtront sous forme de triangles verts, mais ne seront pas visibles dans le graphique de quantité de couvain !</a:t>
          </a:r>
        </a:p>
        <a:p>
          <a:pPr marL="0" marR="0" indent="0" defTabSz="914400" eaLnBrk="1" fontAlgn="auto" latinLnBrk="0" hangingPunct="1">
            <a:lnSpc>
              <a:spcPct val="100000"/>
            </a:lnSpc>
            <a:spcBef>
              <a:spcPts val="0"/>
            </a:spcBef>
            <a:spcAft>
              <a:spcPts val="0"/>
            </a:spcAft>
            <a:buClrTx/>
            <a:buSzTx/>
            <a:buFontTx/>
            <a:buNone/>
            <a:tabLst/>
            <a:defRPr lang="fr-FR"/>
          </a:pPr>
          <a:endParaRPr lang="fr-FR" sz="1200" b="0" i="1"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100" b="0" baseline="0">
              <a:solidFill>
                <a:schemeClr val="dk1"/>
              </a:solidFill>
              <a:effectLst/>
              <a:latin typeface="+mn-lt"/>
              <a:ea typeface="+mn-ea"/>
              <a:cs typeface="+mn-cs"/>
            </a:rPr>
            <a:t xml:space="preserve">Là encore, cela ne fournit qu’une estimation approximative de l’effet. Vous pouvez saisir d’autres traitements dans les cellules jaunes de la ligne 20.</a:t>
          </a:r>
          <a:endParaRPr lang="fr-FR" sz="1200" b="0" baseline="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lang="fr-FR"/>
          </a:pPr>
          <a:r>
            <a:rPr lang="fr-FR" sz="1200" b="1" i="1" baseline="0">
              <a:solidFill>
                <a:schemeClr val="dk1"/>
              </a:solidFill>
              <a:effectLst/>
              <a:latin typeface="+mn-lt"/>
              <a:ea typeface="+mn-ea"/>
              <a:cs typeface="+mn-cs"/>
            </a:rPr>
            <a:t xml:space="preserve">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a:t>
          </a:r>
        </a:p>
        <a:p>
          <a:pPr marL="0" marR="0" indent="0" defTabSz="914400" eaLnBrk="1" fontAlgn="auto" latinLnBrk="0" hangingPunct="1">
            <a:lnSpc>
              <a:spcPct val="100000"/>
            </a:lnSpc>
            <a:spcBef>
              <a:spcPts val="0"/>
            </a:spcBef>
            <a:spcAft>
              <a:spcPts val="0"/>
            </a:spcAft>
            <a:buClrTx/>
            <a:buSzTx/>
            <a:buFontTx/>
            <a:buNone/>
            <a:tabLst/>
            <a:defRPr lang="fr-FR"/>
          </a:pPr>
          <a:r>
            <a:rPr lang="fr-FR" sz="1200" b="1" baseline="0">
              <a:solidFill>
                <a:schemeClr val="dk1"/>
              </a:solidFill>
              <a:effectLst/>
              <a:latin typeface="+mn-lt"/>
              <a:ea typeface="+mn-ea"/>
              <a:cs typeface="+mn-cs"/>
            </a:rPr>
            <a:t xml:space="preserve">Une rupture de couvain pendant le développement printanier peut fortement réduire le taux d’infestation par le varroa pour le reste de l’année, mais au prix d’un ralentissement important du développement de la colonie.</a:t>
          </a:r>
          <a:endParaRPr lang="fr-FR" sz="1200">
            <a:effectLst/>
          </a:endParaRPr>
        </a:p>
        <a:p>
          <a:pPr marL="0" marR="0" indent="0" defTabSz="914400" eaLnBrk="1" fontAlgn="auto" latinLnBrk="0" hangingPunct="1">
            <a:lnSpc>
              <a:spcPct val="100000"/>
            </a:lnSpc>
            <a:spcBef>
              <a:spcPts val="0"/>
            </a:spcBef>
            <a:spcAft>
              <a:spcPts val="0"/>
            </a:spcAft>
            <a:buClrTx/>
            <a:buSzTx/>
            <a:buFontTx/>
            <a:buNone/>
            <a:tabLst/>
            <a:defRPr lang="fr-FR"/>
          </a:pPr>
          <a:endParaRPr lang="fr-FR">
            <a:effectLst/>
          </a:endParaRPr>
        </a:p>
        <a:p>
          <a:pPr marL="0" marR="0" indent="0" defTabSz="914400" eaLnBrk="1" fontAlgn="auto" latinLnBrk="0" hangingPunct="1">
            <a:lnSpc>
              <a:spcPct val="100000"/>
            </a:lnSpc>
            <a:spcBef>
              <a:spcPts val="0"/>
            </a:spcBef>
            <a:spcAft>
              <a:spcPts val="0"/>
            </a:spcAft>
            <a:buClrTx/>
            <a:buSzTx/>
            <a:buFontTx/>
            <a:buNone/>
            <a:tabLst/>
            <a:defRPr lang="fr-FR"/>
          </a:pPr>
          <a:endParaRPr lang="fr-FR">
            <a:effectLst/>
          </a:endParaRPr>
        </a:p>
        <a:p>
          <a:pPr eaLnBrk="1" fontAlgn="auto" latinLnBrk="0" hangingPunct="1"/>
          <a:endParaRPr lang="fr-FR" sz="1100"/>
        </a:p>
      </xdr:txBody>
    </xdr:sp>
    <xdr:clientData/>
  </xdr:twoCellAnchor>
  <xdr:twoCellAnchor>
    <xdr:from>
      <xdr:col>8</xdr:col>
      <xdr:colOff>77611</xdr:colOff>
      <xdr:row>2</xdr:row>
      <xdr:rowOff>585611</xdr:rowOff>
    </xdr:from>
    <xdr:to>
      <xdr:col>21</xdr:col>
      <xdr:colOff>28223</xdr:colOff>
      <xdr:row>2</xdr:row>
      <xdr:rowOff>804333</xdr:rowOff>
    </xdr:to>
    <xdr:sp macro="" textlink="">
      <xdr:nvSpPr>
        <xdr:cNvPr id="14" name="TextBox 13">
          <a:extLst>
            <a:ext uri="{FF2B5EF4-FFF2-40B4-BE49-F238E27FC236}">
              <a16:creationId xmlns:a16="http://schemas.microsoft.com/office/drawing/2014/main" id="{00000000-0008-0000-0B00-00000E000000}"/>
            </a:ext>
          </a:extLst>
        </xdr:cNvPr>
        <xdr:cNvSpPr txBox="1"/>
      </xdr:nvSpPr>
      <xdr:spPr>
        <a:xfrm>
          <a:off x="3563761" y="909461"/>
          <a:ext cx="4738512" cy="2187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t xml:space="preserve">Ce modèle est en cours d’élaboration : veillez à utiliser la version la plus récente !</a:t>
          </a:r>
        </a:p>
      </xdr:txBody>
    </xdr:sp>
    <xdr:clientData/>
  </xdr:twoCellAnchor>
  <xdr:twoCellAnchor>
    <xdr:from>
      <xdr:col>13</xdr:col>
      <xdr:colOff>359834</xdr:colOff>
      <xdr:row>33</xdr:row>
      <xdr:rowOff>126999</xdr:rowOff>
    </xdr:from>
    <xdr:to>
      <xdr:col>31</xdr:col>
      <xdr:colOff>7056</xdr:colOff>
      <xdr:row>67</xdr:row>
      <xdr:rowOff>49388</xdr:rowOff>
    </xdr:to>
    <xdr:sp macro="" textlink="">
      <xdr:nvSpPr>
        <xdr:cNvPr id="15" name="TextBox 14">
          <a:extLst>
            <a:ext uri="{FF2B5EF4-FFF2-40B4-BE49-F238E27FC236}">
              <a16:creationId xmlns:a16="http://schemas.microsoft.com/office/drawing/2014/main" id="{00000000-0008-0000-0B00-00000F000000}"/>
            </a:ext>
          </a:extLst>
        </xdr:cNvPr>
        <xdr:cNvSpPr txBox="1"/>
      </xdr:nvSpPr>
      <xdr:spPr>
        <a:xfrm>
          <a:off x="5672667" y="6448777"/>
          <a:ext cx="6286500" cy="5609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rmAutofit/>
        </a:bodyPr>
        <a:lstStyle/>
        <a:p>
          <a:r>
            <a:rPr lang="fr-FR" sz="1100">
              <a:solidFill>
                <a:schemeClr val="dk1"/>
              </a:solidFill>
              <a:effectLst/>
              <a:latin typeface="+mn-lt"/>
              <a:ea typeface="+mn-ea"/>
              <a:cs typeface="+mn-cs"/>
            </a:rPr>
            <a:t xml:space="preserve">Réductions attendues des varroas selon l’option de traitement :
95 % : acaricide de synthèse très efficace, tel que l’amitraz, appliqué sur plusieurs semaines. Son action n’est pas rapide ; il vaut donc mieux l’appliquer de façon anticipée, tôt dans la saison.
90 % : deux traitements de 50 g d’Apiguard à 10 jours d’intervalle, dans une rehausse. À utiliser de préférence en août, car il réduit l’élevage du couvain.</a:t>
          </a:r>
        </a:p>
        <a:p>
          <a:r>
            <a:rPr lang="fr-FR" sz="1100">
              <a:solidFill>
                <a:schemeClr val="dk1"/>
              </a:solidFill>
              <a:effectLst/>
              <a:latin typeface="+mn-lt"/>
              <a:ea typeface="+mn-ea"/>
              <a:cs typeface="+mn-cs"/>
            </a:rPr>
            <a:t xml:space="preserve">70–90 % (parfois moins) : 2 bandes MAQS ou Formic Pro, ou un traitement fort à l’acide formique (libération progressive ou traitement flash puissant). Meilleur traitement pour faire chuter rapidement les varroas par temps chaud. Peut être utilisé pendant la miellée.</a:t>
          </a:r>
        </a:p>
        <a:p>
          <a:r>
            <a:rPr lang="fr-FR" sz="1100">
              <a:solidFill>
                <a:schemeClr val="dk1"/>
              </a:solidFill>
              <a:effectLst/>
              <a:latin typeface="+mn-lt"/>
              <a:ea typeface="+mn-ea"/>
              <a:cs typeface="+mn-cs"/>
            </a:rPr>
            <a:t xml:space="preserve">50 % (environ) : 1 bande MAQS ou Formic Pro, ou un traitement unique de faible intensité à l’acide formique pour une réduction rapide. Cette réduction rapide permet de gagner du temps et ménage davantage la reine.</a:t>
          </a:r>
        </a:p>
        <a:p>
          <a:r>
            <a:rPr lang="fr-FR" sz="1100">
              <a:solidFill>
                <a:schemeClr val="dk1"/>
              </a:solidFill>
              <a:effectLst/>
              <a:latin typeface="+mn-lt"/>
              <a:ea typeface="+mn-ea"/>
              <a:cs typeface="+mn-cs"/>
            </a:rPr>
            <a:t xml:space="preserve">80–90 % : Hopguard 3 si la colonie est sans couvain ; des applications répétées seraient nécessaires en présence de couvain. Peut être utilisé pendant la miellée.</a:t>
          </a:r>
          <a:endParaRPr lang="fr-FR" sz="1100">
            <a:solidFill>
              <a:srgbClr val="FF0000"/>
            </a:solidFill>
            <a:effectLst/>
            <a:latin typeface="+mn-lt"/>
            <a:ea typeface="+mn-ea"/>
            <a:cs typeface="+mn-cs"/>
          </a:endParaRPr>
        </a:p>
        <a:p>
          <a:r>
            <a:rPr lang="fr-FR" sz="1100" b="1">
              <a:solidFill>
                <a:schemeClr val="dk1"/>
              </a:solidFill>
              <a:effectLst/>
              <a:latin typeface="+mn-lt"/>
              <a:ea typeface="+mn-ea"/>
              <a:cs typeface="+mn-cs"/>
            </a:rPr>
            <a:t xml:space="preserve">25 % : un seul poudrage au sucre glace, en supposant la chute de 50 % des varroas phorétiques. Nécessite des applications répétées et poursuivies dans le temps.
15–20 % : retrait complet du couvain de mâles, réalisé tôt dans la saison, à chaque retrait. Apporte une certaine réduction, mais demande beaucoup de travail.
40–60 % : départ d’un essaim primaire au printemps.
80–95 % : dégouttement ou sublimation d’acide oxalique en l’absence de couvain. Excellente réduction lorsque la colonie est sans couvain, à la suite d’une rupture naturelle ou provoquée.
15–45 % : un dégouttement ou une sublimation d’acide oxalique dans une ruche contenant du couvain, proportionnellement au % de varroas phorétiques. Réduction limitée lorsque les colonies contiennent du couvain.
85 %, 3 fois : serviettes ou éponges à libération prolongée d’acide oxalique et de glycérine ; pour le résultat final à 45 jours, saisissez 85 % pendant trois périodes consécutives à partir du moment de l’application. Pas encore homologué.</a:t>
          </a:r>
        </a:p>
        <a:p>
          <a:endParaRPr lang="fr-FR" sz="1100" b="1">
            <a:solidFill>
              <a:srgbClr val="FF0000"/>
            </a:solidFill>
            <a:effectLst/>
            <a:latin typeface="+mn-lt"/>
            <a:ea typeface="+mn-ea"/>
            <a:cs typeface="+mn-cs"/>
          </a:endParaRPr>
        </a:p>
        <a:p>
          <a:pPr eaLnBrk="1" fontAlgn="auto" latinLnBrk="0" hangingPunct="1"/>
          <a:r>
            <a:rPr lang="fr-FR" sz="1100" b="0" baseline="0">
              <a:solidFill>
                <a:schemeClr val="dk1"/>
              </a:solidFill>
              <a:effectLst/>
              <a:latin typeface="+mn-lt"/>
              <a:ea typeface="+mn-ea"/>
              <a:cs typeface="+mn-cs"/>
            </a:rPr>
            <a:t xml:space="preserve">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a:t>
          </a:r>
          <a:endParaRPr lang="fr-FR">
            <a:effectLst/>
          </a:endParaRPr>
        </a:p>
        <a:p>
          <a:pPr eaLnBrk="1" fontAlgn="auto" latinLnBrk="0" hangingPunct="1"/>
          <a:r>
            <a:rPr lang="fr-FR" sz="1100" b="0" baseline="0">
              <a:solidFill>
                <a:schemeClr val="dk1"/>
              </a:solidFill>
              <a:effectLst/>
              <a:latin typeface="+mn-lt"/>
              <a:ea typeface="+mn-ea"/>
              <a:cs typeface="+mn-cs"/>
            </a:rPr>
            <a:t xml:space="preserve">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 Le modèle se recalculera alors en tenant compte de la rupture de couvain. Là encore, il s’agira d’une estimation approximative de l’effet.</a:t>
          </a:r>
          <a:endParaRPr lang="fr-FR">
            <a:effectLst/>
          </a:endParaRPr>
        </a:p>
        <a:p>
          <a:pPr eaLnBrk="1" fontAlgn="auto" latinLnBrk="0" hangingPunct="1"/>
          <a:r>
            <a:rPr lang="fr-FR" sz="1100" b="0" baseline="0">
              <a:solidFill>
                <a:schemeClr val="dk1"/>
              </a:solidFill>
              <a:effectLst/>
              <a:latin typeface="+mn-lt"/>
              <a:ea typeface="+mn-ea"/>
              <a:cs typeface="+mn-cs"/>
            </a:rPr>
            <a:t xml:space="preserve">Vous pouvez remettre la feuille dans son état normal en recopiant les formules vers le bas à partir de la cellule située au-dessus de la première cellule modifiée. Puis protéger à nouveau la feuille.</a:t>
          </a:r>
          <a:endParaRPr lang="fr-FR">
            <a:effectLst/>
          </a:endParaRPr>
        </a:p>
        <a:p>
          <a:endParaRPr lang="fr-FR" sz="1100">
            <a:solidFill>
              <a:srgbClr val="FF0000"/>
            </a:solidFill>
          </a:endParaRPr>
        </a:p>
      </xdr:txBody>
    </xdr:sp>
    <xdr:clientData/>
  </xdr:twoCellAnchor>
  <xdr:twoCellAnchor>
    <xdr:from>
      <xdr:col>38</xdr:col>
      <xdr:colOff>28222</xdr:colOff>
      <xdr:row>3</xdr:row>
      <xdr:rowOff>42334</xdr:rowOff>
    </xdr:from>
    <xdr:to>
      <xdr:col>39</xdr:col>
      <xdr:colOff>155222</xdr:colOff>
      <xdr:row>4</xdr:row>
      <xdr:rowOff>28223</xdr:rowOff>
    </xdr:to>
    <xdr:sp macro="" textlink="">
      <xdr:nvSpPr>
        <xdr:cNvPr id="16" name="Rectangle 15">
          <a:extLst>
            <a:ext uri="{FF2B5EF4-FFF2-40B4-BE49-F238E27FC236}">
              <a16:creationId xmlns:a16="http://schemas.microsoft.com/office/drawing/2014/main" id="{00000000-0008-0000-0B00-000010000000}"/>
            </a:ext>
          </a:extLst>
        </xdr:cNvPr>
        <xdr:cNvSpPr/>
      </xdr:nvSpPr>
      <xdr:spPr>
        <a:xfrm>
          <a:off x="15190611" y="1559278"/>
          <a:ext cx="444500" cy="211667"/>
        </a:xfrm>
        <a:prstGeom prst="rect">
          <a:avLst/>
        </a:prstGeom>
        <a:solidFill>
          <a:srgbClr val="B3E97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wrap="square">
          <a:normAutofit/>
        </a:bodyPr>
        <a:lstStyle/>
        <a:p>
          <a:pPr algn="l"/>
          <a:r>
            <a:rPr lang="fr-FR" sz="1100">
              <a:solidFill>
                <a:schemeClr val="tx1"/>
              </a:solidFill>
              <a:sym typeface="Wingdings"/>
            </a:rPr>
            <a:t></a:t>
          </a:r>
          <a:endParaRPr lang="fr-FR" sz="1100">
            <a:solidFill>
              <a:schemeClr val="tx1"/>
            </a:solidFill>
          </a:endParaRP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0.7905</cdr:x>
      <cdr:y>0.52742</cdr:y>
    </cdr:from>
    <cdr:to>
      <cdr:x>0.91745</cdr:x>
      <cdr:y>0.60519</cdr:y>
    </cdr:to>
    <cdr:sp macro="" textlink="">
      <cdr:nvSpPr>
        <cdr:cNvPr id="3" name="TextBox 2"/>
        <cdr:cNvSpPr txBox="1"/>
      </cdr:nvSpPr>
      <cdr:spPr>
        <a:xfrm xmlns:a="http://schemas.openxmlformats.org/drawingml/2006/main">
          <a:off x="4860909" y="1773800"/>
          <a:ext cx="780635" cy="2615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400" b="1">
              <a:solidFill>
                <a:schemeClr val="bg1"/>
              </a:solidFill>
            </a:rPr>
            <a:t xml:space="preserve">EFFONDREMENT</a:t>
          </a:r>
        </a:p>
      </cdr:txBody>
    </cdr:sp>
  </cdr:relSizeAnchor>
  <cdr:relSizeAnchor xmlns:cdr="http://schemas.openxmlformats.org/drawingml/2006/chartDrawing">
    <cdr:from>
      <cdr:x>0.00527</cdr:x>
      <cdr:y>0.79712</cdr:y>
    </cdr:from>
    <cdr:to>
      <cdr:x>0.0716</cdr:x>
      <cdr:y>0.95059</cdr:y>
    </cdr:to>
    <cdr:sp macro="" textlink="">
      <cdr:nvSpPr>
        <cdr:cNvPr id="2" name="TextBox 1"/>
        <cdr:cNvSpPr txBox="1"/>
      </cdr:nvSpPr>
      <cdr:spPr>
        <a:xfrm xmlns:a="http://schemas.openxmlformats.org/drawingml/2006/main">
          <a:off x="56410" y="2572328"/>
          <a:ext cx="709480" cy="4952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1100" b="1">
              <a:solidFill>
                <a:srgbClr val="FF0000"/>
              </a:solidFill>
            </a:rPr>
            <a:t xml:space="preserve">Varroas au départ</a:t>
          </a:r>
          <a:endParaRPr lang="fr-FR" sz="1100" b="1">
            <a:solidFill>
              <a:srgbClr val="FF0000"/>
            </a:solidFill>
          </a:endParaRPr>
        </a:p>
      </cdr:txBody>
    </cdr:sp>
  </cdr:relSizeAnchor>
  <cdr:relSizeAnchor xmlns:cdr="http://schemas.openxmlformats.org/drawingml/2006/chartDrawing">
    <cdr:from>
      <cdr:x>0.93368</cdr:x>
      <cdr:y>0.80131</cdr:y>
    </cdr:from>
    <cdr:to>
      <cdr:x>1</cdr:x>
      <cdr:y>0.95478</cdr:y>
    </cdr:to>
    <cdr:sp macro="" textlink="">
      <cdr:nvSpPr>
        <cdr:cNvPr id="4" name="TextBox 1"/>
        <cdr:cNvSpPr txBox="1"/>
      </cdr:nvSpPr>
      <cdr:spPr>
        <a:xfrm xmlns:a="http://schemas.openxmlformats.org/drawingml/2006/main">
          <a:off x="9986849" y="2585846"/>
          <a:ext cx="709373" cy="4952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lang="fr-FR">
              <a:latin typeface="+mn-lt"/>
              <a:ea typeface="+mn-ea"/>
              <a:cs typeface="+mn-cs"/>
            </a:defRPr>
          </a:lvl1pPr>
          <a:lvl2pPr marL="457200" indent="0">
            <a:defRPr sz="1100" lang="fr-FR">
              <a:latin typeface="+mn-lt"/>
              <a:ea typeface="+mn-ea"/>
              <a:cs typeface="+mn-cs"/>
            </a:defRPr>
          </a:lvl2pPr>
          <a:lvl3pPr marL="914400" indent="0">
            <a:defRPr sz="1100" lang="fr-FR">
              <a:latin typeface="+mn-lt"/>
              <a:ea typeface="+mn-ea"/>
              <a:cs typeface="+mn-cs"/>
            </a:defRPr>
          </a:lvl3pPr>
          <a:lvl4pPr marL="1371600" indent="0">
            <a:defRPr sz="1100" lang="fr-FR">
              <a:latin typeface="+mn-lt"/>
              <a:ea typeface="+mn-ea"/>
              <a:cs typeface="+mn-cs"/>
            </a:defRPr>
          </a:lvl4pPr>
          <a:lvl5pPr marL="1828800" indent="0">
            <a:defRPr sz="1100" lang="fr-FR">
              <a:latin typeface="+mn-lt"/>
              <a:ea typeface="+mn-ea"/>
              <a:cs typeface="+mn-cs"/>
            </a:defRPr>
          </a:lvl5pPr>
          <a:lvl6pPr marL="2286000" indent="0">
            <a:defRPr sz="1100" lang="fr-FR">
              <a:latin typeface="+mn-lt"/>
              <a:ea typeface="+mn-ea"/>
              <a:cs typeface="+mn-cs"/>
            </a:defRPr>
          </a:lvl6pPr>
          <a:lvl7pPr marL="2743200" indent="0">
            <a:defRPr sz="1100" lang="fr-FR">
              <a:latin typeface="+mn-lt"/>
              <a:ea typeface="+mn-ea"/>
              <a:cs typeface="+mn-cs"/>
            </a:defRPr>
          </a:lvl7pPr>
          <a:lvl8pPr marL="3200400" indent="0">
            <a:defRPr sz="1100" lang="fr-FR">
              <a:latin typeface="+mn-lt"/>
              <a:ea typeface="+mn-ea"/>
              <a:cs typeface="+mn-cs"/>
            </a:defRPr>
          </a:lvl8pPr>
          <a:lvl9pPr marL="3657600" indent="0">
            <a:defRPr sz="1100" lang="fr-FR">
              <a:latin typeface="+mn-lt"/>
              <a:ea typeface="+mn-ea"/>
              <a:cs typeface="+mn-cs"/>
            </a:defRPr>
          </a:lvl9pPr>
        </a:lstStyle>
        <a:p xmlns:a="http://schemas.openxmlformats.org/drawingml/2006/main">
          <a:r>
            <a:rPr lang="fr-FR" sz="1100" b="1">
              <a:solidFill>
                <a:srgbClr val="FF0000"/>
              </a:solidFill>
            </a:rPr>
            <a:t xml:space="preserve">Varroas en fin de simulation</a:t>
          </a:r>
          <a:endParaRPr lang="fr-FR" sz="1100" b="1">
            <a:solidFill>
              <a:srgbClr val="FF0000"/>
            </a:solidFill>
          </a:endParaRPr>
        </a:p>
      </cdr:txBody>
    </cdr:sp>
  </cdr:relSizeAnchor>
</c:userShapes>
</file>

<file path=xl/fr/drawings/_rels/drawing1.xml.rels><?xml version='1.0' encoding='UTF-8' standalone='yes'?>
<Relationships xmlns="http://schemas.openxmlformats.org/package/2006/relationships"><Relationship Type="http://schemas.openxmlformats.org/officeDocument/2006/relationships/image" Target="/xl/fr/media/image.jpg" Id="R24a906639b0e4a4f"/><Relationship Type="http://schemas.openxmlformats.org/officeDocument/2006/relationships/image" Target="/xl/fr/media/image.png" Id="R491bc72bc3274092"/><Relationship Type="http://schemas.openxmlformats.org/officeDocument/2006/relationships/image" Target="/xl/fr/media/image2.png" Id="R66ec43864e9c4eaa"/><Relationship Type="http://schemas.openxmlformats.org/officeDocument/2006/relationships/image" Target="/xl/fr/media/image3.png" Id="R79e4190660eb4224"/><Relationship Type="http://schemas.openxmlformats.org/officeDocument/2006/relationships/image" Target="/xl/fr/media/image4.png" Id="R2300403d037844f1"/><Relationship Type="http://schemas.openxmlformats.org/officeDocument/2006/relationships/image" Target="/xl/fr/media/image5.png" Id="Rfc9a4ad5942143a9"/><Relationship Type="http://schemas.openxmlformats.org/officeDocument/2006/relationships/image" Target="/xl/fr/media/image6.png" Id="R1631284417134db5"/><Relationship Type="http://schemas.openxmlformats.org/officeDocument/2006/relationships/image" Target="/xl/fr/media/image7.png" Id="R8b9ef0f8f5b4443e"/><Relationship Type="http://schemas.openxmlformats.org/officeDocument/2006/relationships/image" Target="/xl/fr/media/image8.png" Id="R5cb76aab02e94c76"/><Relationship Type="http://schemas.openxmlformats.org/officeDocument/2006/relationships/image" Target="/xl/fr/media/image9.png" Id="R8f995e6afb914488"/><Relationship Type="http://schemas.openxmlformats.org/officeDocument/2006/relationships/image" Target="/xl/fr/media/image10.png" Id="Rec56fa1e3b2f4981"/><Relationship Type="http://schemas.openxmlformats.org/officeDocument/2006/relationships/image" Target="/xl/fr/media/image11.png" Id="R951ea8ceaa6d42d7"/><Relationship Type="http://schemas.openxmlformats.org/officeDocument/2006/relationships/image" Target="/xl/fr/media/image12.png" Id="R4624a87c24da4d75"/><Relationship Type="http://schemas.openxmlformats.org/officeDocument/2006/relationships/image" Target="/xl/fr/media/image13.png" Id="R59e24cec9ff04e77"/></Relationships>
</file>

<file path=xl/fr/drawings/drawing1.xml><?xml version="1.0" encoding="utf-8"?>
<xdr:wsDr xmlns:xdr="http://schemas.openxmlformats.org/drawingml/2006/spreadsheetDrawing">
  <xdr:oneCellAnchor>
    <xdr:from>
      <xdr:col>1</xdr:col>
      <xdr:colOff>0</xdr:colOff>
      <xdr:row>12</xdr:row>
      <xdr:rowOff>0</xdr:rowOff>
    </xdr:from>
    <xdr:ext cx="3810000" cy="2762250"/>
    <xdr:pic>
      <xdr:nvPicPr>
        <xdr:cNvPr id="1" name="048b42bc-2b65-442e-b117-92c04f3f0d39"/>
        <xdr:cNvPicPr>
          <a:picLocks xmlns:a="http://schemas.openxmlformats.org/drawingml/2006/main" noChangeAspect="1"/>
        </xdr:cNvPicPr>
      </xdr:nvPicPr>
      <xdr:blipFill>
        <a:blip xmlns:r="http://schemas.openxmlformats.org/officeDocument/2006/relationships" xmlns:a="http://schemas.openxmlformats.org/drawingml/2006/main" r:embed="R24a906639b0e4a4f"/>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31</xdr:row>
      <xdr:rowOff>0</xdr:rowOff>
    </xdr:from>
    <xdr:ext cx="3810000" cy="2857500"/>
    <xdr:pic>
      <xdr:nvPicPr>
        <xdr:cNvPr id="2" name="3fa6904a-6c66-4c8e-b68e-ce78ecf8a80b"/>
        <xdr:cNvPicPr>
          <a:picLocks xmlns:a="http://schemas.openxmlformats.org/drawingml/2006/main" noChangeAspect="1"/>
        </xdr:cNvPicPr>
      </xdr:nvPicPr>
      <xdr:blipFill>
        <a:blip xmlns:r="http://schemas.openxmlformats.org/officeDocument/2006/relationships" xmlns:a="http://schemas.openxmlformats.org/drawingml/2006/main" r:embed="R491bc72bc3274092"/>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50</xdr:row>
      <xdr:rowOff>0</xdr:rowOff>
    </xdr:from>
    <xdr:ext cx="3810000" cy="2857500"/>
    <xdr:pic>
      <xdr:nvPicPr>
        <xdr:cNvPr id="3" name="a6e81fe1-df37-47ed-8dad-8455674ba344"/>
        <xdr:cNvPicPr>
          <a:picLocks xmlns:a="http://schemas.openxmlformats.org/drawingml/2006/main" noChangeAspect="1"/>
        </xdr:cNvPicPr>
      </xdr:nvPicPr>
      <xdr:blipFill>
        <a:blip xmlns:r="http://schemas.openxmlformats.org/officeDocument/2006/relationships" xmlns:a="http://schemas.openxmlformats.org/drawingml/2006/main" r:embed="R66ec43864e9c4eaa"/>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84</xdr:row>
      <xdr:rowOff>0</xdr:rowOff>
    </xdr:from>
    <xdr:ext cx="3810000" cy="1866900"/>
    <xdr:pic>
      <xdr:nvPicPr>
        <xdr:cNvPr id="4" name="bd3114bb-89f5-49ef-8ccc-d8be60a73040"/>
        <xdr:cNvPicPr>
          <a:picLocks xmlns:a="http://schemas.openxmlformats.org/drawingml/2006/main" noChangeAspect="1"/>
        </xdr:cNvPicPr>
      </xdr:nvPicPr>
      <xdr:blipFill>
        <a:blip xmlns:r="http://schemas.openxmlformats.org/officeDocument/2006/relationships" xmlns:a="http://schemas.openxmlformats.org/drawingml/2006/main" r:embed="R79e4190660eb4224"/>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118</xdr:row>
      <xdr:rowOff>0</xdr:rowOff>
    </xdr:from>
    <xdr:ext cx="3810000" cy="1905000"/>
    <xdr:pic>
      <xdr:nvPicPr>
        <xdr:cNvPr id="5" name="a4e4160c-1a9c-4e91-8ef3-293e40a2861b"/>
        <xdr:cNvPicPr>
          <a:picLocks xmlns:a="http://schemas.openxmlformats.org/drawingml/2006/main" noChangeAspect="1"/>
        </xdr:cNvPicPr>
      </xdr:nvPicPr>
      <xdr:blipFill>
        <a:blip xmlns:r="http://schemas.openxmlformats.org/officeDocument/2006/relationships" xmlns:a="http://schemas.openxmlformats.org/drawingml/2006/main" r:embed="R2300403d037844f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151</xdr:row>
      <xdr:rowOff>0</xdr:rowOff>
    </xdr:from>
    <xdr:ext cx="3810000" cy="1905000"/>
    <xdr:pic>
      <xdr:nvPicPr>
        <xdr:cNvPr id="6" name="4dff5698-d6d1-46e8-ad8e-6817ca86f4a6"/>
        <xdr:cNvPicPr>
          <a:picLocks xmlns:a="http://schemas.openxmlformats.org/drawingml/2006/main" noChangeAspect="1"/>
        </xdr:cNvPicPr>
      </xdr:nvPicPr>
      <xdr:blipFill>
        <a:blip xmlns:r="http://schemas.openxmlformats.org/officeDocument/2006/relationships" xmlns:a="http://schemas.openxmlformats.org/drawingml/2006/main" r:embed="Rfc9a4ad5942143a9"/>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183</xdr:row>
      <xdr:rowOff>0</xdr:rowOff>
    </xdr:from>
    <xdr:ext cx="3810000" cy="2247900"/>
    <xdr:pic>
      <xdr:nvPicPr>
        <xdr:cNvPr id="7" name="6284f31c-978e-44f5-9534-8de1d9e7cd90"/>
        <xdr:cNvPicPr>
          <a:picLocks xmlns:a="http://schemas.openxmlformats.org/drawingml/2006/main" noChangeAspect="1"/>
        </xdr:cNvPicPr>
      </xdr:nvPicPr>
      <xdr:blipFill>
        <a:blip xmlns:r="http://schemas.openxmlformats.org/officeDocument/2006/relationships" xmlns:a="http://schemas.openxmlformats.org/drawingml/2006/main" r:embed="R1631284417134db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199</xdr:row>
      <xdr:rowOff>0</xdr:rowOff>
    </xdr:from>
    <xdr:ext cx="3810000" cy="2286000"/>
    <xdr:pic>
      <xdr:nvPicPr>
        <xdr:cNvPr id="8" name="8a95f83c-3186-41dd-8553-a083fe820c3b"/>
        <xdr:cNvPicPr>
          <a:picLocks xmlns:a="http://schemas.openxmlformats.org/drawingml/2006/main" noChangeAspect="1"/>
        </xdr:cNvPicPr>
      </xdr:nvPicPr>
      <xdr:blipFill>
        <a:blip xmlns:r="http://schemas.openxmlformats.org/officeDocument/2006/relationships" xmlns:a="http://schemas.openxmlformats.org/drawingml/2006/main" r:embed="R8b9ef0f8f5b4443e"/>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215</xdr:row>
      <xdr:rowOff>0</xdr:rowOff>
    </xdr:from>
    <xdr:ext cx="3181350" cy="4191000"/>
    <xdr:pic>
      <xdr:nvPicPr>
        <xdr:cNvPr id="9" name="e4e9c68c-5466-4002-8cb9-d9821ebb909e"/>
        <xdr:cNvPicPr>
          <a:picLocks xmlns:a="http://schemas.openxmlformats.org/drawingml/2006/main" noChangeAspect="1"/>
        </xdr:cNvPicPr>
      </xdr:nvPicPr>
      <xdr:blipFill>
        <a:blip xmlns:r="http://schemas.openxmlformats.org/officeDocument/2006/relationships" xmlns:a="http://schemas.openxmlformats.org/drawingml/2006/main" r:embed="R5cb76aab02e94c76"/>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240</xdr:row>
      <xdr:rowOff>0</xdr:rowOff>
    </xdr:from>
    <xdr:ext cx="3810000" cy="2305050"/>
    <xdr:pic>
      <xdr:nvPicPr>
        <xdr:cNvPr id="10" name="3c28247a-be36-44b9-9663-0ee221f6089d"/>
        <xdr:cNvPicPr>
          <a:picLocks xmlns:a="http://schemas.openxmlformats.org/drawingml/2006/main" noChangeAspect="1"/>
        </xdr:cNvPicPr>
      </xdr:nvPicPr>
      <xdr:blipFill>
        <a:blip xmlns:r="http://schemas.openxmlformats.org/officeDocument/2006/relationships" xmlns:a="http://schemas.openxmlformats.org/drawingml/2006/main" r:embed="R8f995e6afb914488"/>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257</xdr:row>
      <xdr:rowOff>0</xdr:rowOff>
    </xdr:from>
    <xdr:ext cx="3810000" cy="2952750"/>
    <xdr:pic>
      <xdr:nvPicPr>
        <xdr:cNvPr id="11" name="f3a78fe3-3f43-4f17-aed7-bc7355139574"/>
        <xdr:cNvPicPr>
          <a:picLocks xmlns:a="http://schemas.openxmlformats.org/drawingml/2006/main" noChangeAspect="1"/>
        </xdr:cNvPicPr>
      </xdr:nvPicPr>
      <xdr:blipFill>
        <a:blip xmlns:r="http://schemas.openxmlformats.org/officeDocument/2006/relationships" xmlns:a="http://schemas.openxmlformats.org/drawingml/2006/main" r:embed="Rec56fa1e3b2f4981"/>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276</xdr:row>
      <xdr:rowOff>0</xdr:rowOff>
    </xdr:from>
    <xdr:ext cx="2667000" cy="4191000"/>
    <xdr:pic>
      <xdr:nvPicPr>
        <xdr:cNvPr id="12" name="7fceef4b-30df-4003-9b15-7db7609525ef"/>
        <xdr:cNvPicPr>
          <a:picLocks xmlns:a="http://schemas.openxmlformats.org/drawingml/2006/main" noChangeAspect="1"/>
        </xdr:cNvPicPr>
      </xdr:nvPicPr>
      <xdr:blipFill>
        <a:blip xmlns:r="http://schemas.openxmlformats.org/officeDocument/2006/relationships" xmlns:a="http://schemas.openxmlformats.org/drawingml/2006/main" r:embed="R951ea8ceaa6d42d7"/>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301</xdr:row>
      <xdr:rowOff>0</xdr:rowOff>
    </xdr:from>
    <xdr:ext cx="3810000" cy="2943225"/>
    <xdr:pic>
      <xdr:nvPicPr>
        <xdr:cNvPr id="13" name="f0635375-a35c-42b2-9839-84e78c21adcd"/>
        <xdr:cNvPicPr>
          <a:picLocks xmlns:a="http://schemas.openxmlformats.org/drawingml/2006/main" noChangeAspect="1"/>
        </xdr:cNvPicPr>
      </xdr:nvPicPr>
      <xdr:blipFill>
        <a:blip xmlns:r="http://schemas.openxmlformats.org/officeDocument/2006/relationships" xmlns:a="http://schemas.openxmlformats.org/drawingml/2006/main" r:embed="R4624a87c24da4d75"/>
        <a:stretch xmlns:a="http://schemas.openxmlformats.org/drawingml/2006/main">
          <a:fillRect/>
        </a:stretch>
      </xdr:blipFill>
      <xdr:spPr>
        <a:prstGeom xmlns:a="http://schemas.openxmlformats.org/drawingml/2006/main" prst="rect"/>
      </xdr:spPr>
    </xdr:pic>
    <xdr:clientData/>
  </xdr:oneCellAnchor>
  <xdr:oneCellAnchor>
    <xdr:from>
      <xdr:col>1</xdr:col>
      <xdr:colOff>0</xdr:colOff>
      <xdr:row>322</xdr:row>
      <xdr:rowOff>0</xdr:rowOff>
    </xdr:from>
    <xdr:ext cx="3810000" cy="3924300"/>
    <xdr:pic>
      <xdr:nvPicPr>
        <xdr:cNvPr id="14" name="c4aed6d1-655e-4344-809a-37fb2ba5e5ec"/>
        <xdr:cNvPicPr>
          <a:picLocks xmlns:a="http://schemas.openxmlformats.org/drawingml/2006/main" noChangeAspect="1"/>
        </xdr:cNvPicPr>
      </xdr:nvPicPr>
      <xdr:blipFill>
        <a:blip xmlns:r="http://schemas.openxmlformats.org/officeDocument/2006/relationships" xmlns:a="http://schemas.openxmlformats.org/drawingml/2006/main" r:embed="R59e24cec9ff04e77"/>
        <a:stretch xmlns:a="http://schemas.openxmlformats.org/drawingml/2006/main">
          <a:fillRect/>
        </a:stretch>
      </xdr:blipFill>
      <xdr:spPr>
        <a:prstGeom xmlns:a="http://schemas.openxmlformats.org/drawingml/2006/main" prst="rect"/>
      </xdr:spPr>
    </xdr:pic>
    <xdr:clientData/>
  </xdr:oneCellAnchor>
</xdr:wsDr>
</file>

<file path=xl/fr/worksheets/_rels/sheet3.xml.rels><?xml version='1.0' encoding='UTF-8' standalone='yes'?>
<Relationships xmlns="http://schemas.openxmlformats.org/package/2006/relationships"><Relationship Type="http://schemas.openxmlformats.org/officeDocument/2006/relationships/drawing" Target="/xl/fr/drawings/drawing1.xml" Id="R11ab22abab544b1b"/></Relationships>
</file>

<file path=xl/fr/worksheets/sheet1.xml><?xml version="1.0" encoding="utf-8"?>
<x:worksheet xmlns:x="http://schemas.openxmlformats.org/spreadsheetml/2006/main">
  <x:sheetPr>
    <x:tabColor rgb="FF24594F"/>
    <x:pageSetUpPr fitToPage="1"/>
  </x:sheetPr>
  <x:sheetViews>
    <x:sheetView showGridLines="0" workbookViewId="0" zoomScale="85" topLeftCell="A1" tabSelected="1"/>
  </x:sheetViews>
  <x:sheetFormatPr defaultRowHeight="15"/>
  <x:cols>
    <x:col min="1" max="1" width="3"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s>
  <x:sheetData>
    <x:row r="1" ht="18" customHeight="1">
      <x:c r="A1" s="498"/>
      <x:c r="B1" s="498"/>
      <x:c r="C1" s="498"/>
      <x:c r="D1" s="498"/>
      <x:c r="E1" s="498"/>
      <x:c r="F1" s="498"/>
      <x:c r="G1" s="498"/>
      <x:c r="H1" s="498"/>
      <x:c r="I1" s="498"/>
      <x:c r="J1" s="498"/>
      <x:c r="K1" s="498"/>
      <x:c r="L1" s="498"/>
      <x:c r="M1" s="498"/>
      <x:c r="N1" s="498"/>
    </x:row>
    <x:row r="2" ht="18" customHeight="1">
      <x:c r="A2" s="498"/>
      <x:c r="B2" s="501" t="str">
        <x:v>Modèle de population de varroas</x:v>
      </x:c>
      <x:c r="C2" s="501" t="str">
        <x:v>Modèle de population de varroas</x:v>
      </x:c>
      <x:c r="D2" s="501" t="str">
        <x:v>Modèle de population de varroas</x:v>
      </x:c>
      <x:c r="E2" s="501" t="str">
        <x:v>Modèle de population de varroas</x:v>
      </x:c>
      <x:c r="F2" s="501" t="str">
        <x:v>Modèle de population de varroas</x:v>
      </x:c>
      <x:c r="G2" s="501" t="str">
        <x:v>Modèle de population de varroas</x:v>
      </x:c>
      <x:c r="H2" s="501" t="str">
        <x:v>Modèle de population de varroas</x:v>
      </x:c>
      <x:c r="I2" s="501" t="str">
        <x:v>Modèle de population de varroas</x:v>
      </x:c>
      <x:c r="J2" s="501" t="str">
        <x:v>Modèle de population de varroas</x:v>
      </x:c>
      <x:c r="K2" s="501" t="str">
        <x:v>Modèle de population de varroas</x:v>
      </x:c>
      <x:c r="L2" s="501" t="str">
        <x:v>Modèle de population de varroas</x:v>
      </x:c>
      <x:c r="M2" s="501" t="str">
        <x:v>Modèle de population de varroas</x:v>
      </x:c>
      <x:c r="N2" s="498"/>
    </x:row>
    <x:row r="3" ht="18" customHeight="1">
      <x:c r="A3" s="498"/>
      <x:c r="B3" s="501" t="str">
        <x:v>Modèle de population de varroas</x:v>
      </x:c>
      <x:c r="C3" s="501" t="str">
        <x:v>Modèle de population de varroas</x:v>
      </x:c>
      <x:c r="D3" s="501" t="str">
        <x:v>Modèle de population de varroas</x:v>
      </x:c>
      <x:c r="E3" s="501" t="str">
        <x:v>Modèle de population de varroas</x:v>
      </x:c>
      <x:c r="F3" s="501" t="str">
        <x:v>Modèle de population de varroas</x:v>
      </x:c>
      <x:c r="G3" s="501" t="str">
        <x:v>Modèle de population de varroas</x:v>
      </x:c>
      <x:c r="H3" s="501" t="str">
        <x:v>Modèle de population de varroas</x:v>
      </x:c>
      <x:c r="I3" s="501" t="str">
        <x:v>Modèle de population de varroas</x:v>
      </x:c>
      <x:c r="J3" s="501" t="str">
        <x:v>Modèle de population de varroas</x:v>
      </x:c>
      <x:c r="K3" s="501" t="str">
        <x:v>Modèle de population de varroas</x:v>
      </x:c>
      <x:c r="L3" s="501" t="str">
        <x:v>Modèle de population de varroas</x:v>
      </x:c>
      <x:c r="M3" s="501" t="str">
        <x:v>Modèle de population de varroas</x:v>
      </x:c>
      <x:c r="N3" s="498"/>
    </x:row>
    <x:row r="4" ht="18" customHeight="1">
      <x:c r="A4" s="498"/>
      <x:c r="B4" s="498"/>
      <x:c r="C4" s="498"/>
      <x:c r="D4" s="498"/>
      <x:c r="E4" s="498"/>
      <x:c r="F4" s="498"/>
      <x:c r="G4" s="498"/>
      <x:c r="H4" s="498"/>
      <x:c r="I4" s="498"/>
      <x:c r="J4" s="498"/>
      <x:c r="K4" s="498"/>
      <x:c r="L4" s="498"/>
      <x:c r="M4" s="498"/>
      <x:c r="N4" s="498"/>
    </x:row>
    <x:row r="5" ht="18" customHeight="1">
      <x:c r="A5" s="498"/>
      <x:c r="B5" s="504" t="str">
        <x:v>Randy Oliver · édition 2026 · traduction française</x:v>
      </x:c>
      <x:c r="C5" s="504" t="str">
        <x:v>Randy Oliver · édition 2026 · traduction française</x:v>
      </x:c>
      <x:c r="D5" s="504" t="str">
        <x:v>Randy Oliver · édition 2026 · traduction française</x:v>
      </x:c>
      <x:c r="E5" s="504" t="str">
        <x:v>Randy Oliver · édition 2026 · traduction française</x:v>
      </x:c>
      <x:c r="F5" s="504" t="str">
        <x:v>Randy Oliver · édition 2026 · traduction française</x:v>
      </x:c>
      <x:c r="G5" s="504" t="str">
        <x:v>Randy Oliver · édition 2026 · traduction française</x:v>
      </x:c>
      <x:c r="H5" s="504" t="str">
        <x:v>Randy Oliver · édition 2026 · traduction française</x:v>
      </x:c>
      <x:c r="I5" s="504" t="str">
        <x:v>Randy Oliver · édition 2026 · traduction française</x:v>
      </x:c>
      <x:c r="J5" s="504" t="str">
        <x:v>Randy Oliver · édition 2026 · traduction française</x:v>
      </x:c>
      <x:c r="K5" s="504" t="str">
        <x:v>Randy Oliver · édition 2026 · traduction française</x:v>
      </x:c>
      <x:c r="L5" s="504" t="str">
        <x:v>Randy Oliver · édition 2026 · traduction française</x:v>
      </x:c>
      <x:c r="M5" s="504" t="str">
        <x:v>Randy Oliver · édition 2026 · traduction française</x:v>
      </x:c>
      <x:c r="N5" s="498"/>
    </x:row>
    <x:row r="6" ht="18" customHeight="1">
      <x:c r="A6" s="498"/>
      <x:c r="B6" s="504" t="str">
        <x:v>Randy Oliver · édition 2026 · traduction française</x:v>
      </x:c>
      <x:c r="C6" s="504" t="str">
        <x:v>Randy Oliver · édition 2026 · traduction française</x:v>
      </x:c>
      <x:c r="D6" s="504" t="str">
        <x:v>Randy Oliver · édition 2026 · traduction française</x:v>
      </x:c>
      <x:c r="E6" s="504" t="str">
        <x:v>Randy Oliver · édition 2026 · traduction française</x:v>
      </x:c>
      <x:c r="F6" s="504" t="str">
        <x:v>Randy Oliver · édition 2026 · traduction française</x:v>
      </x:c>
      <x:c r="G6" s="504" t="str">
        <x:v>Randy Oliver · édition 2026 · traduction française</x:v>
      </x:c>
      <x:c r="H6" s="504" t="str">
        <x:v>Randy Oliver · édition 2026 · traduction française</x:v>
      </x:c>
      <x:c r="I6" s="504" t="str">
        <x:v>Randy Oliver · édition 2026 · traduction française</x:v>
      </x:c>
      <x:c r="J6" s="504" t="str">
        <x:v>Randy Oliver · édition 2026 · traduction française</x:v>
      </x:c>
      <x:c r="K6" s="504" t="str">
        <x:v>Randy Oliver · édition 2026 · traduction française</x:v>
      </x:c>
      <x:c r="L6" s="504" t="str">
        <x:v>Randy Oliver · édition 2026 · traduction française</x:v>
      </x:c>
      <x:c r="M6" s="504" t="str">
        <x:v>Randy Oliver · édition 2026 · traduction française</x:v>
      </x:c>
      <x:c r="N6" s="498"/>
    </x:row>
    <x:row r="7" ht="18" customHeight="1">
      <x:c r="A7" s="498"/>
      <x:c r="B7" s="505"/>
      <x:c r="C7" s="505"/>
      <x:c r="D7" s="505"/>
      <x:c r="E7" s="505"/>
      <x:c r="F7" s="505"/>
      <x:c r="G7" s="505"/>
      <x:c r="H7" s="505"/>
      <x:c r="I7" s="505"/>
      <x:c r="J7" s="505"/>
      <x:c r="K7" s="505"/>
      <x:c r="L7" s="505"/>
      <x:c r="M7" s="505"/>
      <x:c r="N7" s="498"/>
    </x:row>
    <x:row r="8" ht="18" customHeight="1">
      <x:c r="A8" s="498"/>
      <x:c r="B8" s="498"/>
      <x:c r="C8" s="498"/>
      <x:c r="D8" s="498"/>
      <x:c r="E8" s="498"/>
      <x:c r="F8" s="498"/>
      <x:c r="G8" s="498"/>
      <x:c r="H8" s="498"/>
      <x:c r="I8" s="498"/>
      <x:c r="J8" s="498"/>
      <x:c r="K8" s="498"/>
      <x:c r="L8" s="498"/>
      <x:c r="M8" s="498"/>
      <x:c r="N8" s="498"/>
    </x:row>
    <x:row r="9" ht="18" customHeight="1">
      <x:c r="A9" s="498"/>
      <x:c r="B9" s="508" t="str">
        <x:v>Commencez par le modèle principal. Les cellules vertes et les cases jaunes d’intervention conservent le rôle indiqué dans l’original. Les codes de profil et les formules restent ceux du classeur.</x:v>
      </x:c>
      <x:c r="C9" s="508" t="str">
        <x:v>Commencez par le modèle principal. Les cellules vertes et les cases jaunes d’intervention conservent le rôle indiqué dans l’original. Les codes de profil et les formules restent ceux du classeur.</x:v>
      </x:c>
      <x:c r="D9" s="508" t="str">
        <x:v>Commencez par le modèle principal. Les cellules vertes et les cases jaunes d’intervention conservent le rôle indiqué dans l’original. Les codes de profil et les formules restent ceux du classeur.</x:v>
      </x:c>
      <x:c r="E9" s="508" t="str">
        <x:v>Commencez par le modèle principal. Les cellules vertes et les cases jaunes d’intervention conservent le rôle indiqué dans l’original. Les codes de profil et les formules restent ceux du classeur.</x:v>
      </x:c>
      <x:c r="F9" s="508" t="str">
        <x:v>Commencez par le modèle principal. Les cellules vertes et les cases jaunes d’intervention conservent le rôle indiqué dans l’original. Les codes de profil et les formules restent ceux du classeur.</x:v>
      </x:c>
      <x:c r="G9" s="508" t="str">
        <x:v>Commencez par le modèle principal. Les cellules vertes et les cases jaunes d’intervention conservent le rôle indiqué dans l’original. Les codes de profil et les formules restent ceux du classeur.</x:v>
      </x:c>
      <x:c r="H9" s="508" t="str">
        <x:v>Commencez par le modèle principal. Les cellules vertes et les cases jaunes d’intervention conservent le rôle indiqué dans l’original. Les codes de profil et les formules restent ceux du classeur.</x:v>
      </x:c>
      <x:c r="I9" s="508" t="str">
        <x:v>Commencez par le modèle principal. Les cellules vertes et les cases jaunes d’intervention conservent le rôle indiqué dans l’original. Les codes de profil et les formules restent ceux du classeur.</x:v>
      </x:c>
      <x:c r="J9" s="508" t="str">
        <x:v>Commencez par le modèle principal. Les cellules vertes et les cases jaunes d’intervention conservent le rôle indiqué dans l’original. Les codes de profil et les formules restent ceux du classeur.</x:v>
      </x:c>
      <x:c r="K9" s="508" t="str">
        <x:v>Commencez par le modèle principal. Les cellules vertes et les cases jaunes d’intervention conservent le rôle indiqué dans l’original. Les codes de profil et les formules restent ceux du classeur.</x:v>
      </x:c>
      <x:c r="L9" s="508" t="str">
        <x:v>Commencez par le modèle principal. Les cellules vertes et les cases jaunes d’intervention conservent le rôle indiqué dans l’original. Les codes de profil et les formules restent ceux du classeur.</x:v>
      </x:c>
      <x:c r="M9" s="508" t="str">
        <x:v>Commencez par le modèle principal. Les cellules vertes et les cases jaunes d’intervention conservent le rôle indiqué dans l’original. Les codes de profil et les formules restent ceux du classeur.</x:v>
      </x:c>
      <x:c r="N9" s="498"/>
    </x:row>
    <x:row r="10" ht="18" customHeight="1">
      <x:c r="A10" s="498"/>
      <x:c r="B10" s="508" t="str">
        <x:v>Commencez par le modèle principal. Les cellules vertes et les cases jaunes d’intervention conservent le rôle indiqué dans l’original. Les codes de profil et les formules restent ceux du classeur.</x:v>
      </x:c>
      <x:c r="C10" s="508" t="str">
        <x:v>Commencez par le modèle principal. Les cellules vertes et les cases jaunes d’intervention conservent le rôle indiqué dans l’original. Les codes de profil et les formules restent ceux du classeur.</x:v>
      </x:c>
      <x:c r="D10" s="508" t="str">
        <x:v>Commencez par le modèle principal. Les cellules vertes et les cases jaunes d’intervention conservent le rôle indiqué dans l’original. Les codes de profil et les formules restent ceux du classeur.</x:v>
      </x:c>
      <x:c r="E10" s="508" t="str">
        <x:v>Commencez par le modèle principal. Les cellules vertes et les cases jaunes d’intervention conservent le rôle indiqué dans l’original. Les codes de profil et les formules restent ceux du classeur.</x:v>
      </x:c>
      <x:c r="F10" s="508" t="str">
        <x:v>Commencez par le modèle principal. Les cellules vertes et les cases jaunes d’intervention conservent le rôle indiqué dans l’original. Les codes de profil et les formules restent ceux du classeur.</x:v>
      </x:c>
      <x:c r="G10" s="508" t="str">
        <x:v>Commencez par le modèle principal. Les cellules vertes et les cases jaunes d’intervention conservent le rôle indiqué dans l’original. Les codes de profil et les formules restent ceux du classeur.</x:v>
      </x:c>
      <x:c r="H10" s="508" t="str">
        <x:v>Commencez par le modèle principal. Les cellules vertes et les cases jaunes d’intervention conservent le rôle indiqué dans l’original. Les codes de profil et les formules restent ceux du classeur.</x:v>
      </x:c>
      <x:c r="I10" s="508" t="str">
        <x:v>Commencez par le modèle principal. Les cellules vertes et les cases jaunes d’intervention conservent le rôle indiqué dans l’original. Les codes de profil et les formules restent ceux du classeur.</x:v>
      </x:c>
      <x:c r="J10" s="508" t="str">
        <x:v>Commencez par le modèle principal. Les cellules vertes et les cases jaunes d’intervention conservent le rôle indiqué dans l’original. Les codes de profil et les formules restent ceux du classeur.</x:v>
      </x:c>
      <x:c r="K10" s="508" t="str">
        <x:v>Commencez par le modèle principal. Les cellules vertes et les cases jaunes d’intervention conservent le rôle indiqué dans l’original. Les codes de profil et les formules restent ceux du classeur.</x:v>
      </x:c>
      <x:c r="L10" s="508" t="str">
        <x:v>Commencez par le modèle principal. Les cellules vertes et les cases jaunes d’intervention conservent le rôle indiqué dans l’original. Les codes de profil et les formules restent ceux du classeur.</x:v>
      </x:c>
      <x:c r="M10" s="508" t="str">
        <x:v>Commencez par le modèle principal. Les cellules vertes et les cases jaunes d’intervention conservent le rôle indiqué dans l’original. Les codes de profil et les formules restent ceux du classeur.</x:v>
      </x:c>
      <x:c r="N10" s="498"/>
    </x:row>
    <x:row r="11" ht="18" customHeight="1">
      <x:c r="A11" s="498"/>
      <x:c r="B11" s="508" t="str">
        <x:v>Commencez par le modèle principal. Les cellules vertes et les cases jaunes d’intervention conservent le rôle indiqué dans l’original. Les codes de profil et les formules restent ceux du classeur.</x:v>
      </x:c>
      <x:c r="C11" s="508" t="str">
        <x:v>Commencez par le modèle principal. Les cellules vertes et les cases jaunes d’intervention conservent le rôle indiqué dans l’original. Les codes de profil et les formules restent ceux du classeur.</x:v>
      </x:c>
      <x:c r="D11" s="508" t="str">
        <x:v>Commencez par le modèle principal. Les cellules vertes et les cases jaunes d’intervention conservent le rôle indiqué dans l’original. Les codes de profil et les formules restent ceux du classeur.</x:v>
      </x:c>
      <x:c r="E11" s="508" t="str">
        <x:v>Commencez par le modèle principal. Les cellules vertes et les cases jaunes d’intervention conservent le rôle indiqué dans l’original. Les codes de profil et les formules restent ceux du classeur.</x:v>
      </x:c>
      <x:c r="F11" s="508" t="str">
        <x:v>Commencez par le modèle principal. Les cellules vertes et les cases jaunes d’intervention conservent le rôle indiqué dans l’original. Les codes de profil et les formules restent ceux du classeur.</x:v>
      </x:c>
      <x:c r="G11" s="508" t="str">
        <x:v>Commencez par le modèle principal. Les cellules vertes et les cases jaunes d’intervention conservent le rôle indiqué dans l’original. Les codes de profil et les formules restent ceux du classeur.</x:v>
      </x:c>
      <x:c r="H11" s="508" t="str">
        <x:v>Commencez par le modèle principal. Les cellules vertes et les cases jaunes d’intervention conservent le rôle indiqué dans l’original. Les codes de profil et les formules restent ceux du classeur.</x:v>
      </x:c>
      <x:c r="I11" s="508" t="str">
        <x:v>Commencez par le modèle principal. Les cellules vertes et les cases jaunes d’intervention conservent le rôle indiqué dans l’original. Les codes de profil et les formules restent ceux du classeur.</x:v>
      </x:c>
      <x:c r="J11" s="508" t="str">
        <x:v>Commencez par le modèle principal. Les cellules vertes et les cases jaunes d’intervention conservent le rôle indiqué dans l’original. Les codes de profil et les formules restent ceux du classeur.</x:v>
      </x:c>
      <x:c r="K11" s="508" t="str">
        <x:v>Commencez par le modèle principal. Les cellules vertes et les cases jaunes d’intervention conservent le rôle indiqué dans l’original. Les codes de profil et les formules restent ceux du classeur.</x:v>
      </x:c>
      <x:c r="L11" s="508" t="str">
        <x:v>Commencez par le modèle principal. Les cellules vertes et les cases jaunes d’intervention conservent le rôle indiqué dans l’original. Les codes de profil et les formules restent ceux du classeur.</x:v>
      </x:c>
      <x:c r="M11" s="508" t="str">
        <x:v>Commencez par le modèle principal. Les cellules vertes et les cases jaunes d’intervention conservent le rôle indiqué dans l’original. Les codes de profil et les formules restent ceux du classeur.</x:v>
      </x:c>
      <x:c r="N11" s="498"/>
    </x:row>
    <x:row r="12" ht="18" customHeight="1">
      <x:c r="A12" s="498"/>
      <x:c r="B12" s="498"/>
      <x:c r="C12" s="498"/>
      <x:c r="D12" s="498"/>
      <x:c r="E12" s="498"/>
      <x:c r="F12" s="498"/>
      <x:c r="G12" s="498"/>
      <x:c r="H12" s="498"/>
      <x:c r="I12" s="498"/>
      <x:c r="J12" s="498"/>
      <x:c r="K12" s="498"/>
      <x:c r="L12" s="498"/>
      <x:c r="M12" s="498"/>
      <x:c r="N12" s="498"/>
    </x:row>
    <x:row r="13" ht="18" customHeight="1">
      <x:c r="A13" s="498"/>
      <x:c r="B13" s="513" t="str">
        <x:v>Modèle principal</x:v>
      </x:c>
      <x:c r="C13" s="513" t="str">
        <x:v>Modèle principal</x:v>
      </x:c>
      <x:c r="D13" s="513" t="str">
        <x:v>Modèle principal</x:v>
      </x:c>
      <x:c r="E13" s="513" t="str">
        <x:v>Modèle principal</x:v>
      </x:c>
      <x:c r="F13" s="513" t="str">
        <x:v>Modèle principal</x:v>
      </x:c>
      <x:c r="G13" s="514" t="str">
        <x:v>Simulation saisonnière et interventions</x:v>
      </x:c>
      <x:c r="H13" s="514" t="str">
        <x:v>Simulation saisonnière et interventions</x:v>
      </x:c>
      <x:c r="I13" s="514" t="str">
        <x:v>Simulation saisonnière et interventions</x:v>
      </x:c>
      <x:c r="J13" s="514" t="str">
        <x:v>Simulation saisonnière et interventions</x:v>
      </x:c>
      <x:c r="K13" s="514" t="str">
        <x:v>Simulation saisonnière et interventions</x:v>
      </x:c>
      <x:c r="L13" s="514" t="str">
        <x:v>Simulation saisonnière et interventions</x:v>
      </x:c>
      <x:c r="M13" s="514" t="str">
        <x:v>Simulation saisonnière et interventions</x:v>
      </x:c>
      <x:c r="N13" s="498"/>
    </x:row>
    <x:row r="14" ht="18" customHeight="1">
      <x:c r="A14" s="498"/>
      <x:c r="B14" s="513" t="str">
        <x:v>Modèle principal</x:v>
      </x:c>
      <x:c r="C14" s="513" t="str">
        <x:v>Modèle principal</x:v>
      </x:c>
      <x:c r="D14" s="513" t="str">
        <x:v>Modèle principal</x:v>
      </x:c>
      <x:c r="E14" s="513" t="str">
        <x:v>Modèle principal</x:v>
      </x:c>
      <x:c r="F14" s="513" t="str">
        <x:v>Modèle principal</x:v>
      </x:c>
      <x:c r="G14" s="514" t="str">
        <x:v>Simulation saisonnière et interventions</x:v>
      </x:c>
      <x:c r="H14" s="514" t="str">
        <x:v>Simulation saisonnière et interventions</x:v>
      </x:c>
      <x:c r="I14" s="514" t="str">
        <x:v>Simulation saisonnière et interventions</x:v>
      </x:c>
      <x:c r="J14" s="514" t="str">
        <x:v>Simulation saisonnière et interventions</x:v>
      </x:c>
      <x:c r="K14" s="514" t="str">
        <x:v>Simulation saisonnière et interventions</x:v>
      </x:c>
      <x:c r="L14" s="514" t="str">
        <x:v>Simulation saisonnière et interventions</x:v>
      </x:c>
      <x:c r="M14" s="514" t="str">
        <x:v>Simulation saisonnière et interventions</x:v>
      </x:c>
      <x:c r="N14" s="498"/>
    </x:row>
    <x:row r="15" ht="18" customHeight="1">
      <x:c r="A15" s="498"/>
      <x:c r="B15" s="515" t="str">
        <x:v>Paramètres libres</x:v>
      </x:c>
      <x:c r="C15" s="515" t="str">
        <x:v>Paramètres libres</x:v>
      </x:c>
      <x:c r="D15" s="515" t="str">
        <x:v>Paramètres libres</x:v>
      </x:c>
      <x:c r="E15" s="515" t="str">
        <x:v>Paramètres libres</x:v>
      </x:c>
      <x:c r="F15" s="515" t="str">
        <x:v>Paramètres libres</x:v>
      </x:c>
      <x:c r="G15" s="516" t="str">
        <x:v>Même modèle, avec paramètres modifiables</x:v>
      </x:c>
      <x:c r="H15" s="516" t="str">
        <x:v>Même modèle, avec paramètres modifiables</x:v>
      </x:c>
      <x:c r="I15" s="516" t="str">
        <x:v>Même modèle, avec paramètres modifiables</x:v>
      </x:c>
      <x:c r="J15" s="516" t="str">
        <x:v>Même modèle, avec paramètres modifiables</x:v>
      </x:c>
      <x:c r="K15" s="516" t="str">
        <x:v>Même modèle, avec paramètres modifiables</x:v>
      </x:c>
      <x:c r="L15" s="516" t="str">
        <x:v>Même modèle, avec paramètres modifiables</x:v>
      </x:c>
      <x:c r="M15" s="516" t="str">
        <x:v>Même modèle, avec paramètres modifiables</x:v>
      </x:c>
      <x:c r="N15" s="498"/>
    </x:row>
    <x:row r="16" ht="18" customHeight="1">
      <x:c r="A16" s="498"/>
      <x:c r="B16" s="515" t="str">
        <x:v>Paramètres libres</x:v>
      </x:c>
      <x:c r="C16" s="515" t="str">
        <x:v>Paramètres libres</x:v>
      </x:c>
      <x:c r="D16" s="515" t="str">
        <x:v>Paramètres libres</x:v>
      </x:c>
      <x:c r="E16" s="515" t="str">
        <x:v>Paramètres libres</x:v>
      </x:c>
      <x:c r="F16" s="515" t="str">
        <x:v>Paramètres libres</x:v>
      </x:c>
      <x:c r="G16" s="516" t="str">
        <x:v>Même modèle, avec paramètres modifiables</x:v>
      </x:c>
      <x:c r="H16" s="516" t="str">
        <x:v>Même modèle, avec paramètres modifiables</x:v>
      </x:c>
      <x:c r="I16" s="516" t="str">
        <x:v>Même modèle, avec paramètres modifiables</x:v>
      </x:c>
      <x:c r="J16" s="516" t="str">
        <x:v>Même modèle, avec paramètres modifiables</x:v>
      </x:c>
      <x:c r="K16" s="516" t="str">
        <x:v>Même modèle, avec paramètres modifiables</x:v>
      </x:c>
      <x:c r="L16" s="516" t="str">
        <x:v>Même modèle, avec paramètres modifiables</x:v>
      </x:c>
      <x:c r="M16" s="516" t="str">
        <x:v>Même modèle, avec paramètres modifiables</x:v>
      </x:c>
      <x:c r="N16" s="498"/>
    </x:row>
    <x:row r="17" ht="18" customHeight="1">
      <x:c r="A17" s="498"/>
      <x:c r="B17" s="513" t="str">
        <x:v>Densité ajustée</x:v>
      </x:c>
      <x:c r="C17" s="513" t="str">
        <x:v>Densité ajustée</x:v>
      </x:c>
      <x:c r="D17" s="513" t="str">
        <x:v>Densité ajustée</x:v>
      </x:c>
      <x:c r="E17" s="513" t="str">
        <x:v>Densité ajustée</x:v>
      </x:c>
      <x:c r="F17" s="513" t="str">
        <x:v>Densité ajustée</x:v>
      </x:c>
      <x:c r="G17" s="514" t="str">
        <x:v>Variante avec densité d’abeilles par cadre</x:v>
      </x:c>
      <x:c r="H17" s="514" t="str">
        <x:v>Variante avec densité d’abeilles par cadre</x:v>
      </x:c>
      <x:c r="I17" s="514" t="str">
        <x:v>Variante avec densité d’abeilles par cadre</x:v>
      </x:c>
      <x:c r="J17" s="514" t="str">
        <x:v>Variante avec densité d’abeilles par cadre</x:v>
      </x:c>
      <x:c r="K17" s="514" t="str">
        <x:v>Variante avec densité d’abeilles par cadre</x:v>
      </x:c>
      <x:c r="L17" s="514" t="str">
        <x:v>Variante avec densité d’abeilles par cadre</x:v>
      </x:c>
      <x:c r="M17" s="514" t="str">
        <x:v>Variante avec densité d’abeilles par cadre</x:v>
      </x:c>
      <x:c r="N17" s="498"/>
    </x:row>
    <x:row r="18" ht="18" customHeight="1">
      <x:c r="A18" s="498"/>
      <x:c r="B18" s="513" t="str">
        <x:v>Densité ajustée</x:v>
      </x:c>
      <x:c r="C18" s="513" t="str">
        <x:v>Densité ajustée</x:v>
      </x:c>
      <x:c r="D18" s="513" t="str">
        <x:v>Densité ajustée</x:v>
      </x:c>
      <x:c r="E18" s="513" t="str">
        <x:v>Densité ajustée</x:v>
      </x:c>
      <x:c r="F18" s="513" t="str">
        <x:v>Densité ajustée</x:v>
      </x:c>
      <x:c r="G18" s="514" t="str">
        <x:v>Variante avec densité d’abeilles par cadre</x:v>
      </x:c>
      <x:c r="H18" s="514" t="str">
        <x:v>Variante avec densité d’abeilles par cadre</x:v>
      </x:c>
      <x:c r="I18" s="514" t="str">
        <x:v>Variante avec densité d’abeilles par cadre</x:v>
      </x:c>
      <x:c r="J18" s="514" t="str">
        <x:v>Variante avec densité d’abeilles par cadre</x:v>
      </x:c>
      <x:c r="K18" s="514" t="str">
        <x:v>Variante avec densité d’abeilles par cadre</x:v>
      </x:c>
      <x:c r="L18" s="514" t="str">
        <x:v>Variante avec densité d’abeilles par cadre</x:v>
      </x:c>
      <x:c r="M18" s="514" t="str">
        <x:v>Variante avec densité d’abeilles par cadre</x:v>
      </x:c>
      <x:c r="N18" s="498"/>
    </x:row>
    <x:row r="19" ht="18" customHeight="1">
      <x:c r="A19" s="498"/>
      <x:c r="B19" s="515" t="str">
        <x:v>Profils de colonie</x:v>
      </x:c>
      <x:c r="C19" s="515" t="str">
        <x:v>Profils de colonie</x:v>
      </x:c>
      <x:c r="D19" s="515" t="str">
        <x:v>Profils de colonie</x:v>
      </x:c>
      <x:c r="E19" s="515" t="str">
        <x:v>Profils de colonie</x:v>
      </x:c>
      <x:c r="F19" s="515" t="str">
        <x:v>Profils de colonie</x:v>
      </x:c>
      <x:c r="G19" s="516" t="str">
        <x:v>Profils, couvain et abeilles au fil de l’année</x:v>
      </x:c>
      <x:c r="H19" s="516" t="str">
        <x:v>Profils, couvain et abeilles au fil de l’année</x:v>
      </x:c>
      <x:c r="I19" s="516" t="str">
        <x:v>Profils, couvain et abeilles au fil de l’année</x:v>
      </x:c>
      <x:c r="J19" s="516" t="str">
        <x:v>Profils, couvain et abeilles au fil de l’année</x:v>
      </x:c>
      <x:c r="K19" s="516" t="str">
        <x:v>Profils, couvain et abeilles au fil de l’année</x:v>
      </x:c>
      <x:c r="L19" s="516" t="str">
        <x:v>Profils, couvain et abeilles au fil de l’année</x:v>
      </x:c>
      <x:c r="M19" s="516" t="str">
        <x:v>Profils, couvain et abeilles au fil de l’année</x:v>
      </x:c>
      <x:c r="N19" s="498"/>
    </x:row>
    <x:row r="20" ht="18" customHeight="1">
      <x:c r="A20" s="498"/>
      <x:c r="B20" s="515" t="str">
        <x:v>Profils de colonie</x:v>
      </x:c>
      <x:c r="C20" s="515" t="str">
        <x:v>Profils de colonie</x:v>
      </x:c>
      <x:c r="D20" s="515" t="str">
        <x:v>Profils de colonie</x:v>
      </x:c>
      <x:c r="E20" s="515" t="str">
        <x:v>Profils de colonie</x:v>
      </x:c>
      <x:c r="F20" s="515" t="str">
        <x:v>Profils de colonie</x:v>
      </x:c>
      <x:c r="G20" s="516" t="str">
        <x:v>Profils, couvain et abeilles au fil de l’année</x:v>
      </x:c>
      <x:c r="H20" s="516" t="str">
        <x:v>Profils, couvain et abeilles au fil de l’année</x:v>
      </x:c>
      <x:c r="I20" s="516" t="str">
        <x:v>Profils, couvain et abeilles au fil de l’année</x:v>
      </x:c>
      <x:c r="J20" s="516" t="str">
        <x:v>Profils, couvain et abeilles au fil de l’année</x:v>
      </x:c>
      <x:c r="K20" s="516" t="str">
        <x:v>Profils, couvain et abeilles au fil de l’année</x:v>
      </x:c>
      <x:c r="L20" s="516" t="str">
        <x:v>Profils, couvain et abeilles au fil de l’année</x:v>
      </x:c>
      <x:c r="M20" s="516" t="str">
        <x:v>Profils, couvain et abeilles au fil de l’année</x:v>
      </x:c>
      <x:c r="N20" s="498"/>
    </x:row>
    <x:row r="21" ht="18" customHeight="1">
      <x:c r="A21" s="498"/>
      <x:c r="B21" s="513" t="str">
        <x:v>Réduction annuelle nécessaire</x:v>
      </x:c>
      <x:c r="C21" s="513" t="str">
        <x:v>Réduction annuelle nécessaire</x:v>
      </x:c>
      <x:c r="D21" s="513" t="str">
        <x:v>Réduction annuelle nécessaire</x:v>
      </x:c>
      <x:c r="E21" s="513" t="str">
        <x:v>Réduction annuelle nécessaire</x:v>
      </x:c>
      <x:c r="F21" s="513" t="str">
        <x:v>Réduction annuelle nécessaire</x:v>
      </x:c>
      <x:c r="G21" s="514" t="str">
        <x:v>Réduction à envisager sur une année de couvain</x:v>
      </x:c>
      <x:c r="H21" s="514" t="str">
        <x:v>Réduction à envisager sur une année de couvain</x:v>
      </x:c>
      <x:c r="I21" s="514" t="str">
        <x:v>Réduction à envisager sur une année de couvain</x:v>
      </x:c>
      <x:c r="J21" s="514" t="str">
        <x:v>Réduction à envisager sur une année de couvain</x:v>
      </x:c>
      <x:c r="K21" s="514" t="str">
        <x:v>Réduction à envisager sur une année de couvain</x:v>
      </x:c>
      <x:c r="L21" s="514" t="str">
        <x:v>Réduction à envisager sur une année de couvain</x:v>
      </x:c>
      <x:c r="M21" s="514" t="str">
        <x:v>Réduction à envisager sur une année de couvain</x:v>
      </x:c>
      <x:c r="N21" s="498"/>
    </x:row>
    <x:row r="22" ht="18" customHeight="1">
      <x:c r="A22" s="498"/>
      <x:c r="B22" s="513" t="str">
        <x:v>Réduction annuelle nécessaire</x:v>
      </x:c>
      <x:c r="C22" s="513" t="str">
        <x:v>Réduction annuelle nécessaire</x:v>
      </x:c>
      <x:c r="D22" s="513" t="str">
        <x:v>Réduction annuelle nécessaire</x:v>
      </x:c>
      <x:c r="E22" s="513" t="str">
        <x:v>Réduction annuelle nécessaire</x:v>
      </x:c>
      <x:c r="F22" s="513" t="str">
        <x:v>Réduction annuelle nécessaire</x:v>
      </x:c>
      <x:c r="G22" s="514" t="str">
        <x:v>Réduction à envisager sur une année de couvain</x:v>
      </x:c>
      <x:c r="H22" s="514" t="str">
        <x:v>Réduction à envisager sur une année de couvain</x:v>
      </x:c>
      <x:c r="I22" s="514" t="str">
        <x:v>Réduction à envisager sur une année de couvain</x:v>
      </x:c>
      <x:c r="J22" s="514" t="str">
        <x:v>Réduction à envisager sur une année de couvain</x:v>
      </x:c>
      <x:c r="K22" s="514" t="str">
        <x:v>Réduction à envisager sur une année de couvain</x:v>
      </x:c>
      <x:c r="L22" s="514" t="str">
        <x:v>Réduction à envisager sur une année de couvain</x:v>
      </x:c>
      <x:c r="M22" s="514" t="str">
        <x:v>Réduction à envisager sur une année de couvain</x:v>
      </x:c>
      <x:c r="N22" s="498"/>
    </x:row>
    <x:row r="23" ht="18" customHeight="1">
      <x:c r="A23" s="498"/>
      <x:c r="B23" s="515" t="str">
        <x:v>Immigration de varroas</x:v>
      </x:c>
      <x:c r="C23" s="515" t="str">
        <x:v>Immigration de varroas</x:v>
      </x:c>
      <x:c r="D23" s="515" t="str">
        <x:v>Immigration de varroas</x:v>
      </x:c>
      <x:c r="E23" s="515" t="str">
        <x:v>Immigration de varroas</x:v>
      </x:c>
      <x:c r="F23" s="515" t="str">
        <x:v>Immigration de varroas</x:v>
      </x:c>
      <x:c r="G23" s="516" t="str">
        <x:v>Arrivées de varroas depuis d’autres colonies</x:v>
      </x:c>
      <x:c r="H23" s="516" t="str">
        <x:v>Arrivées de varroas depuis d’autres colonies</x:v>
      </x:c>
      <x:c r="I23" s="516" t="str">
        <x:v>Arrivées de varroas depuis d’autres colonies</x:v>
      </x:c>
      <x:c r="J23" s="516" t="str">
        <x:v>Arrivées de varroas depuis d’autres colonies</x:v>
      </x:c>
      <x:c r="K23" s="516" t="str">
        <x:v>Arrivées de varroas depuis d’autres colonies</x:v>
      </x:c>
      <x:c r="L23" s="516" t="str">
        <x:v>Arrivées de varroas depuis d’autres colonies</x:v>
      </x:c>
      <x:c r="M23" s="516" t="str">
        <x:v>Arrivées de varroas depuis d’autres colonies</x:v>
      </x:c>
      <x:c r="N23" s="498"/>
    </x:row>
    <x:row r="24" ht="18" customHeight="1">
      <x:c r="A24" s="498"/>
      <x:c r="B24" s="515" t="str">
        <x:v>Immigration de varroas</x:v>
      </x:c>
      <x:c r="C24" s="515" t="str">
        <x:v>Immigration de varroas</x:v>
      </x:c>
      <x:c r="D24" s="515" t="str">
        <x:v>Immigration de varroas</x:v>
      </x:c>
      <x:c r="E24" s="515" t="str">
        <x:v>Immigration de varroas</x:v>
      </x:c>
      <x:c r="F24" s="515" t="str">
        <x:v>Immigration de varroas</x:v>
      </x:c>
      <x:c r="G24" s="516" t="str">
        <x:v>Arrivées de varroas depuis d’autres colonies</x:v>
      </x:c>
      <x:c r="H24" s="516" t="str">
        <x:v>Arrivées de varroas depuis d’autres colonies</x:v>
      </x:c>
      <x:c r="I24" s="516" t="str">
        <x:v>Arrivées de varroas depuis d’autres colonies</x:v>
      </x:c>
      <x:c r="J24" s="516" t="str">
        <x:v>Arrivées de varroas depuis d’autres colonies</x:v>
      </x:c>
      <x:c r="K24" s="516" t="str">
        <x:v>Arrivées de varroas depuis d’autres colonies</x:v>
      </x:c>
      <x:c r="L24" s="516" t="str">
        <x:v>Arrivées de varroas depuis d’autres colonies</x:v>
      </x:c>
      <x:c r="M24" s="516" t="str">
        <x:v>Arrivées de varroas depuis d’autres colonies</x:v>
      </x:c>
      <x:c r="N24" s="498"/>
    </x:row>
    <x:row r="25" ht="18" customHeight="1">
      <x:c r="A25" s="498"/>
      <x:c r="B25" s="513" t="str">
        <x:v>Croissance comparée</x:v>
      </x:c>
      <x:c r="C25" s="513" t="str">
        <x:v>Croissance comparée</x:v>
      </x:c>
      <x:c r="D25" s="513" t="str">
        <x:v>Croissance comparée</x:v>
      </x:c>
      <x:c r="E25" s="513" t="str">
        <x:v>Croissance comparée</x:v>
      </x:c>
      <x:c r="F25" s="513" t="str">
        <x:v>Croissance comparée</x:v>
      </x:c>
      <x:c r="G25" s="514" t="str">
        <x:v>Abeilles, varroas et résistance</x:v>
      </x:c>
      <x:c r="H25" s="514" t="str">
        <x:v>Abeilles, varroas et résistance</x:v>
      </x:c>
      <x:c r="I25" s="514" t="str">
        <x:v>Abeilles, varroas et résistance</x:v>
      </x:c>
      <x:c r="J25" s="514" t="str">
        <x:v>Abeilles, varroas et résistance</x:v>
      </x:c>
      <x:c r="K25" s="514" t="str">
        <x:v>Abeilles, varroas et résistance</x:v>
      </x:c>
      <x:c r="L25" s="514" t="str">
        <x:v>Abeilles, varroas et résistance</x:v>
      </x:c>
      <x:c r="M25" s="514" t="str">
        <x:v>Abeilles, varroas et résistance</x:v>
      </x:c>
      <x:c r="N25" s="498"/>
    </x:row>
    <x:row r="26" ht="18" customHeight="1">
      <x:c r="A26" s="498"/>
      <x:c r="B26" s="513" t="str">
        <x:v>Croissance comparée</x:v>
      </x:c>
      <x:c r="C26" s="513" t="str">
        <x:v>Croissance comparée</x:v>
      </x:c>
      <x:c r="D26" s="513" t="str">
        <x:v>Croissance comparée</x:v>
      </x:c>
      <x:c r="E26" s="513" t="str">
        <x:v>Croissance comparée</x:v>
      </x:c>
      <x:c r="F26" s="513" t="str">
        <x:v>Croissance comparée</x:v>
      </x:c>
      <x:c r="G26" s="514" t="str">
        <x:v>Abeilles, varroas et résistance</x:v>
      </x:c>
      <x:c r="H26" s="514" t="str">
        <x:v>Abeilles, varroas et résistance</x:v>
      </x:c>
      <x:c r="I26" s="514" t="str">
        <x:v>Abeilles, varroas et résistance</x:v>
      </x:c>
      <x:c r="J26" s="514" t="str">
        <x:v>Abeilles, varroas et résistance</x:v>
      </x:c>
      <x:c r="K26" s="514" t="str">
        <x:v>Abeilles, varroas et résistance</x:v>
      </x:c>
      <x:c r="L26" s="514" t="str">
        <x:v>Abeilles, varroas et résistance</x:v>
      </x:c>
      <x:c r="M26" s="514" t="str">
        <x:v>Abeilles, varroas et résistance</x:v>
      </x:c>
      <x:c r="N26" s="498"/>
    </x:row>
    <x:row r="27" ht="18" customHeight="1">
      <x:c r="A27" s="498"/>
      <x:c r="B27" s="515" t="str">
        <x:v>Taux de croissance r</x:v>
      </x:c>
      <x:c r="C27" s="515" t="str">
        <x:v>Taux de croissance r</x:v>
      </x:c>
      <x:c r="D27" s="515" t="str">
        <x:v>Taux de croissance r</x:v>
      </x:c>
      <x:c r="E27" s="515" t="str">
        <x:v>Taux de croissance r</x:v>
      </x:c>
      <x:c r="F27" s="515" t="str">
        <x:v>Taux de croissance r</x:v>
      </x:c>
      <x:c r="G27" s="516" t="str">
        <x:v>Croissance, doublement et survie</x:v>
      </x:c>
      <x:c r="H27" s="516" t="str">
        <x:v>Croissance, doublement et survie</x:v>
      </x:c>
      <x:c r="I27" s="516" t="str">
        <x:v>Croissance, doublement et survie</x:v>
      </x:c>
      <x:c r="J27" s="516" t="str">
        <x:v>Croissance, doublement et survie</x:v>
      </x:c>
      <x:c r="K27" s="516" t="str">
        <x:v>Croissance, doublement et survie</x:v>
      </x:c>
      <x:c r="L27" s="516" t="str">
        <x:v>Croissance, doublement et survie</x:v>
      </x:c>
      <x:c r="M27" s="516" t="str">
        <x:v>Croissance, doublement et survie</x:v>
      </x:c>
      <x:c r="N27" s="498"/>
    </x:row>
    <x:row r="28" ht="18" customHeight="1">
      <x:c r="A28" s="498"/>
      <x:c r="B28" s="515" t="str">
        <x:v>Taux de croissance r</x:v>
      </x:c>
      <x:c r="C28" s="515" t="str">
        <x:v>Taux de croissance r</x:v>
      </x:c>
      <x:c r="D28" s="515" t="str">
        <x:v>Taux de croissance r</x:v>
      </x:c>
      <x:c r="E28" s="515" t="str">
        <x:v>Taux de croissance r</x:v>
      </x:c>
      <x:c r="F28" s="515" t="str">
        <x:v>Taux de croissance r</x:v>
      </x:c>
      <x:c r="G28" s="516" t="str">
        <x:v>Croissance, doublement et survie</x:v>
      </x:c>
      <x:c r="H28" s="516" t="str">
        <x:v>Croissance, doublement et survie</x:v>
      </x:c>
      <x:c r="I28" s="516" t="str">
        <x:v>Croissance, doublement et survie</x:v>
      </x:c>
      <x:c r="J28" s="516" t="str">
        <x:v>Croissance, doublement et survie</x:v>
      </x:c>
      <x:c r="K28" s="516" t="str">
        <x:v>Croissance, doublement et survie</x:v>
      </x:c>
      <x:c r="L28" s="516" t="str">
        <x:v>Croissance, doublement et survie</x:v>
      </x:c>
      <x:c r="M28" s="516" t="str">
        <x:v>Croissance, doublement et survie</x:v>
      </x:c>
      <x:c r="N28" s="498"/>
    </x:row>
    <x:row r="29" ht="18" customHeight="1">
      <x:c r="A29" s="498"/>
      <x:c r="B29" s="513" t="str">
        <x:v>À propos du modèle</x:v>
      </x:c>
      <x:c r="C29" s="513" t="str">
        <x:v>À propos du modèle</x:v>
      </x:c>
      <x:c r="D29" s="513" t="str">
        <x:v>À propos du modèle</x:v>
      </x:c>
      <x:c r="E29" s="513" t="str">
        <x:v>À propos du modèle</x:v>
      </x:c>
      <x:c r="F29" s="513" t="str">
        <x:v>À propos du modèle</x:v>
      </x:c>
      <x:c r="G29" s="514" t="str">
        <x:v>Présentation et limites par Randy Oliver</x:v>
      </x:c>
      <x:c r="H29" s="514" t="str">
        <x:v>Présentation et limites par Randy Oliver</x:v>
      </x:c>
      <x:c r="I29" s="514" t="str">
        <x:v>Présentation et limites par Randy Oliver</x:v>
      </x:c>
      <x:c r="J29" s="514" t="str">
        <x:v>Présentation et limites par Randy Oliver</x:v>
      </x:c>
      <x:c r="K29" s="514" t="str">
        <x:v>Présentation et limites par Randy Oliver</x:v>
      </x:c>
      <x:c r="L29" s="514" t="str">
        <x:v>Présentation et limites par Randy Oliver</x:v>
      </x:c>
      <x:c r="M29" s="514" t="str">
        <x:v>Présentation et limites par Randy Oliver</x:v>
      </x:c>
      <x:c r="N29" s="498"/>
    </x:row>
    <x:row r="30" ht="18" customHeight="1">
      <x:c r="A30" s="498"/>
      <x:c r="B30" s="513" t="str">
        <x:v>À propos du modèle</x:v>
      </x:c>
      <x:c r="C30" s="513" t="str">
        <x:v>À propos du modèle</x:v>
      </x:c>
      <x:c r="D30" s="513" t="str">
        <x:v>À propos du modèle</x:v>
      </x:c>
      <x:c r="E30" s="513" t="str">
        <x:v>À propos du modèle</x:v>
      </x:c>
      <x:c r="F30" s="513" t="str">
        <x:v>À propos du modèle</x:v>
      </x:c>
      <x:c r="G30" s="514" t="str">
        <x:v>Présentation et limites par Randy Oliver</x:v>
      </x:c>
      <x:c r="H30" s="514" t="str">
        <x:v>Présentation et limites par Randy Oliver</x:v>
      </x:c>
      <x:c r="I30" s="514" t="str">
        <x:v>Présentation et limites par Randy Oliver</x:v>
      </x:c>
      <x:c r="J30" s="514" t="str">
        <x:v>Présentation et limites par Randy Oliver</x:v>
      </x:c>
      <x:c r="K30" s="514" t="str">
        <x:v>Présentation et limites par Randy Oliver</x:v>
      </x:c>
      <x:c r="L30" s="514" t="str">
        <x:v>Présentation et limites par Randy Oliver</x:v>
      </x:c>
      <x:c r="M30" s="514" t="str">
        <x:v>Présentation et limites par Randy Oliver</x:v>
      </x:c>
      <x:c r="N30" s="498"/>
    </x:row>
    <x:row r="31" ht="18" customHeight="1">
      <x:c r="A31" s="498"/>
      <x:c r="B31" s="515" t="str">
        <x:v>Notes de version</x:v>
      </x:c>
      <x:c r="C31" s="515" t="str">
        <x:v>Notes de version</x:v>
      </x:c>
      <x:c r="D31" s="515" t="str">
        <x:v>Notes de version</x:v>
      </x:c>
      <x:c r="E31" s="515" t="str">
        <x:v>Notes de version</x:v>
      </x:c>
      <x:c r="F31" s="515" t="str">
        <x:v>Notes de version</x:v>
      </x:c>
      <x:c r="G31" s="516" t="str">
        <x:v>Notes historiques de l’auteur</x:v>
      </x:c>
      <x:c r="H31" s="516" t="str">
        <x:v>Notes historiques de l’auteur</x:v>
      </x:c>
      <x:c r="I31" s="516" t="str">
        <x:v>Notes historiques de l’auteur</x:v>
      </x:c>
      <x:c r="J31" s="516" t="str">
        <x:v>Notes historiques de l’auteur</x:v>
      </x:c>
      <x:c r="K31" s="516" t="str">
        <x:v>Notes historiques de l’auteur</x:v>
      </x:c>
      <x:c r="L31" s="516" t="str">
        <x:v>Notes historiques de l’auteur</x:v>
      </x:c>
      <x:c r="M31" s="516" t="str">
        <x:v>Notes historiques de l’auteur</x:v>
      </x:c>
      <x:c r="N31" s="498"/>
    </x:row>
    <x:row r="32" ht="18" customHeight="1">
      <x:c r="A32" s="498"/>
      <x:c r="B32" s="515" t="str">
        <x:v>Notes de version</x:v>
      </x:c>
      <x:c r="C32" s="515" t="str">
        <x:v>Notes de version</x:v>
      </x:c>
      <x:c r="D32" s="515" t="str">
        <x:v>Notes de version</x:v>
      </x:c>
      <x:c r="E32" s="515" t="str">
        <x:v>Notes de version</x:v>
      </x:c>
      <x:c r="F32" s="515" t="str">
        <x:v>Notes de version</x:v>
      </x:c>
      <x:c r="G32" s="516" t="str">
        <x:v>Notes historiques de l’auteur</x:v>
      </x:c>
      <x:c r="H32" s="516" t="str">
        <x:v>Notes historiques de l’auteur</x:v>
      </x:c>
      <x:c r="I32" s="516" t="str">
        <x:v>Notes historiques de l’auteur</x:v>
      </x:c>
      <x:c r="J32" s="516" t="str">
        <x:v>Notes historiques de l’auteur</x:v>
      </x:c>
      <x:c r="K32" s="516" t="str">
        <x:v>Notes historiques de l’auteur</x:v>
      </x:c>
      <x:c r="L32" s="516" t="str">
        <x:v>Notes historiques de l’auteur</x:v>
      </x:c>
      <x:c r="M32" s="516" t="str">
        <x:v>Notes historiques de l’auteur</x:v>
      </x:c>
      <x:c r="N32" s="498"/>
    </x:row>
    <x:row r="33" ht="18" customHeight="1">
      <x:c r="A33" s="498"/>
      <x:c r="B33" s="513" t="str">
        <x:v>Population initiale</x:v>
      </x:c>
      <x:c r="C33" s="513" t="str">
        <x:v>Population initiale</x:v>
      </x:c>
      <x:c r="D33" s="513" t="str">
        <x:v>Population initiale</x:v>
      </x:c>
      <x:c r="E33" s="513" t="str">
        <x:v>Population initiale</x:v>
      </x:c>
      <x:c r="F33" s="513" t="str">
        <x:v>Population initiale</x:v>
      </x:c>
      <x:c r="G33" s="514" t="str">
        <x:v>Effet de l’infestation initiale</x:v>
      </x:c>
      <x:c r="H33" s="514" t="str">
        <x:v>Effet de l’infestation initiale</x:v>
      </x:c>
      <x:c r="I33" s="514" t="str">
        <x:v>Effet de l’infestation initiale</x:v>
      </x:c>
      <x:c r="J33" s="514" t="str">
        <x:v>Effet de l’infestation initiale</x:v>
      </x:c>
      <x:c r="K33" s="514" t="str">
        <x:v>Effet de l’infestation initiale</x:v>
      </x:c>
      <x:c r="L33" s="514" t="str">
        <x:v>Effet de l’infestation initiale</x:v>
      </x:c>
      <x:c r="M33" s="514" t="str">
        <x:v>Effet de l’infestation initiale</x:v>
      </x:c>
      <x:c r="N33" s="498"/>
    </x:row>
    <x:row r="34" ht="18" customHeight="1">
      <x:c r="A34" s="498"/>
      <x:c r="B34" s="513" t="str">
        <x:v>Population initiale</x:v>
      </x:c>
      <x:c r="C34" s="513" t="str">
        <x:v>Population initiale</x:v>
      </x:c>
      <x:c r="D34" s="513" t="str">
        <x:v>Population initiale</x:v>
      </x:c>
      <x:c r="E34" s="513" t="str">
        <x:v>Population initiale</x:v>
      </x:c>
      <x:c r="F34" s="513" t="str">
        <x:v>Population initiale</x:v>
      </x:c>
      <x:c r="G34" s="514" t="str">
        <x:v>Effet de l’infestation initiale</x:v>
      </x:c>
      <x:c r="H34" s="514" t="str">
        <x:v>Effet de l’infestation initiale</x:v>
      </x:c>
      <x:c r="I34" s="514" t="str">
        <x:v>Effet de l’infestation initiale</x:v>
      </x:c>
      <x:c r="J34" s="514" t="str">
        <x:v>Effet de l’infestation initiale</x:v>
      </x:c>
      <x:c r="K34" s="514" t="str">
        <x:v>Effet de l’infestation initiale</x:v>
      </x:c>
      <x:c r="L34" s="514" t="str">
        <x:v>Effet de l’infestation initiale</x:v>
      </x:c>
      <x:c r="M34" s="514" t="str">
        <x:v>Effet de l’infestation initiale</x:v>
      </x:c>
      <x:c r="N34" s="498"/>
    </x:row>
    <x:row r="35" ht="18" customHeight="1">
      <x:c r="A35" s="498"/>
      <x:c r="B35" s="515" t="str">
        <x:v>Données à étudier</x:v>
      </x:c>
      <x:c r="C35" s="515" t="str">
        <x:v>Données à étudier</x:v>
      </x:c>
      <x:c r="D35" s="515" t="str">
        <x:v>Données à étudier</x:v>
      </x:c>
      <x:c r="E35" s="515" t="str">
        <x:v>Données à étudier</x:v>
      </x:c>
      <x:c r="F35" s="515" t="str">
        <x:v>Données à étudier</x:v>
      </x:c>
      <x:c r="G35" s="516" t="str">
        <x:v>Références et pistes de recherche</x:v>
      </x:c>
      <x:c r="H35" s="516" t="str">
        <x:v>Références et pistes de recherche</x:v>
      </x:c>
      <x:c r="I35" s="516" t="str">
        <x:v>Références et pistes de recherche</x:v>
      </x:c>
      <x:c r="J35" s="516" t="str">
        <x:v>Références et pistes de recherche</x:v>
      </x:c>
      <x:c r="K35" s="516" t="str">
        <x:v>Références et pistes de recherche</x:v>
      </x:c>
      <x:c r="L35" s="516" t="str">
        <x:v>Références et pistes de recherche</x:v>
      </x:c>
      <x:c r="M35" s="516" t="str">
        <x:v>Références et pistes de recherche</x:v>
      </x:c>
      <x:c r="N35" s="498"/>
    </x:row>
    <x:row r="36" ht="18" customHeight="1">
      <x:c r="A36" s="498"/>
      <x:c r="B36" s="515" t="str">
        <x:v>Données à étudier</x:v>
      </x:c>
      <x:c r="C36" s="515" t="str">
        <x:v>Données à étudier</x:v>
      </x:c>
      <x:c r="D36" s="515" t="str">
        <x:v>Données à étudier</x:v>
      </x:c>
      <x:c r="E36" s="515" t="str">
        <x:v>Données à étudier</x:v>
      </x:c>
      <x:c r="F36" s="515" t="str">
        <x:v>Données à étudier</x:v>
      </x:c>
      <x:c r="G36" s="516" t="str">
        <x:v>Références et pistes de recherche</x:v>
      </x:c>
      <x:c r="H36" s="516" t="str">
        <x:v>Références et pistes de recherche</x:v>
      </x:c>
      <x:c r="I36" s="516" t="str">
        <x:v>Références et pistes de recherche</x:v>
      </x:c>
      <x:c r="J36" s="516" t="str">
        <x:v>Références et pistes de recherche</x:v>
      </x:c>
      <x:c r="K36" s="516" t="str">
        <x:v>Références et pistes de recherche</x:v>
      </x:c>
      <x:c r="L36" s="516" t="str">
        <x:v>Références et pistes de recherche</x:v>
      </x:c>
      <x:c r="M36" s="516" t="str">
        <x:v>Références et pistes de recherche</x:v>
      </x:c>
      <x:c r="N36" s="498"/>
    </x:row>
    <x:row r="37" ht="18" customHeight="1">
      <x:c r="A37" s="498"/>
      <x:c r="B37" s="513" t="str">
        <x:v>Rupture de couvain</x:v>
      </x:c>
      <x:c r="C37" s="513" t="str">
        <x:v>Rupture de couvain</x:v>
      </x:c>
      <x:c r="D37" s="513" t="str">
        <x:v>Rupture de couvain</x:v>
      </x:c>
      <x:c r="E37" s="513" t="str">
        <x:v>Rupture de couvain</x:v>
      </x:c>
      <x:c r="F37" s="513" t="str">
        <x:v>Rupture de couvain</x:v>
      </x:c>
      <x:c r="G37" s="514" t="str">
        <x:v>Variante avec interruption de reproduction</x:v>
      </x:c>
      <x:c r="H37" s="514" t="str">
        <x:v>Variante avec interruption de reproduction</x:v>
      </x:c>
      <x:c r="I37" s="514" t="str">
        <x:v>Variante avec interruption de reproduction</x:v>
      </x:c>
      <x:c r="J37" s="514" t="str">
        <x:v>Variante avec interruption de reproduction</x:v>
      </x:c>
      <x:c r="K37" s="514" t="str">
        <x:v>Variante avec interruption de reproduction</x:v>
      </x:c>
      <x:c r="L37" s="514" t="str">
        <x:v>Variante avec interruption de reproduction</x:v>
      </x:c>
      <x:c r="M37" s="514" t="str">
        <x:v>Variante avec interruption de reproduction</x:v>
      </x:c>
      <x:c r="N37" s="498"/>
    </x:row>
    <x:row r="38" ht="18" customHeight="1">
      <x:c r="A38" s="498"/>
      <x:c r="B38" s="513" t="str">
        <x:v>Rupture de couvain</x:v>
      </x:c>
      <x:c r="C38" s="513" t="str">
        <x:v>Rupture de couvain</x:v>
      </x:c>
      <x:c r="D38" s="513" t="str">
        <x:v>Rupture de couvain</x:v>
      </x:c>
      <x:c r="E38" s="513" t="str">
        <x:v>Rupture de couvain</x:v>
      </x:c>
      <x:c r="F38" s="513" t="str">
        <x:v>Rupture de couvain</x:v>
      </x:c>
      <x:c r="G38" s="514" t="str">
        <x:v>Variante avec interruption de reproduction</x:v>
      </x:c>
      <x:c r="H38" s="514" t="str">
        <x:v>Variante avec interruption de reproduction</x:v>
      </x:c>
      <x:c r="I38" s="514" t="str">
        <x:v>Variante avec interruption de reproduction</x:v>
      </x:c>
      <x:c r="J38" s="514" t="str">
        <x:v>Variante avec interruption de reproduction</x:v>
      </x:c>
      <x:c r="K38" s="514" t="str">
        <x:v>Variante avec interruption de reproduction</x:v>
      </x:c>
      <x:c r="L38" s="514" t="str">
        <x:v>Variante avec interruption de reproduction</x:v>
      </x:c>
      <x:c r="M38" s="514" t="str">
        <x:v>Variante avec interruption de reproduction</x:v>
      </x:c>
      <x:c r="N38" s="498"/>
    </x:row>
    <x:row r="39" ht="18" customHeight="1">
      <x:c r="A39" s="498"/>
      <x:c r="B39" s="498"/>
      <x:c r="C39" s="498"/>
      <x:c r="D39" s="498"/>
      <x:c r="E39" s="498"/>
      <x:c r="F39" s="498"/>
      <x:c r="G39" s="498"/>
      <x:c r="H39" s="498"/>
      <x:c r="I39" s="498"/>
      <x:c r="J39" s="498"/>
      <x:c r="K39" s="498"/>
      <x:c r="L39" s="498"/>
      <x:c r="M39" s="498"/>
      <x:c r="N39" s="498"/>
    </x:row>
    <x:row r="40" ht="18" customHeight="1">
      <x:c r="A40" s="498"/>
      <x:c r="B40" s="512" t="str">
        <x:v>Lire les explications et les commentaires</x:v>
      </x:c>
      <x:c r="C40" s="512" t="str">
        <x:v>Lire les explications et les commentaires</x:v>
      </x:c>
      <x:c r="D40" s="512" t="str">
        <x:v>Lire les explications et les commentaires</x:v>
      </x:c>
      <x:c r="E40" s="512" t="str">
        <x:v>Lire les explications et les commentaires</x:v>
      </x:c>
      <x:c r="F40" s="512" t="str">
        <x:v>Lire les explications et les commentaires</x:v>
      </x:c>
      <x:c r="G40" s="508" t="str">
        <x:v>Une lecture continue des textes longs, sans ouvrir chaque note.</x:v>
      </x:c>
      <x:c r="H40" s="508" t="str">
        <x:v>Une lecture continue des textes longs, sans ouvrir chaque note.</x:v>
      </x:c>
      <x:c r="I40" s="508" t="str">
        <x:v>Une lecture continue des textes longs, sans ouvrir chaque note.</x:v>
      </x:c>
      <x:c r="J40" s="508" t="str">
        <x:v>Une lecture continue des textes longs, sans ouvrir chaque note.</x:v>
      </x:c>
      <x:c r="K40" s="508" t="str">
        <x:v>Une lecture continue des textes longs, sans ouvrir chaque note.</x:v>
      </x:c>
      <x:c r="L40" s="508" t="str">
        <x:v>Une lecture continue des textes longs, sans ouvrir chaque note.</x:v>
      </x:c>
      <x:c r="M40" s="508" t="str">
        <x:v>Une lecture continue des textes longs, sans ouvrir chaque note.</x:v>
      </x:c>
      <x:c r="N40" s="498"/>
    </x:row>
    <x:row r="41" ht="18" customHeight="1">
      <x:c r="A41" s="498"/>
      <x:c r="B41" s="512" t="str">
        <x:v>Lire les explications et les commentaires</x:v>
      </x:c>
      <x:c r="C41" s="512" t="str">
        <x:v>Lire les explications et les commentaires</x:v>
      </x:c>
      <x:c r="D41" s="512" t="str">
        <x:v>Lire les explications et les commentaires</x:v>
      </x:c>
      <x:c r="E41" s="512" t="str">
        <x:v>Lire les explications et les commentaires</x:v>
      </x:c>
      <x:c r="F41" s="512" t="str">
        <x:v>Lire les explications et les commentaires</x:v>
      </x:c>
      <x:c r="G41" s="508" t="str">
        <x:v>Une lecture continue des textes longs, sans ouvrir chaque note.</x:v>
      </x:c>
      <x:c r="H41" s="508" t="str">
        <x:v>Une lecture continue des textes longs, sans ouvrir chaque note.</x:v>
      </x:c>
      <x:c r="I41" s="508" t="str">
        <x:v>Une lecture continue des textes longs, sans ouvrir chaque note.</x:v>
      </x:c>
      <x:c r="J41" s="508" t="str">
        <x:v>Une lecture continue des textes longs, sans ouvrir chaque note.</x:v>
      </x:c>
      <x:c r="K41" s="508" t="str">
        <x:v>Une lecture continue des textes longs, sans ouvrir chaque note.</x:v>
      </x:c>
      <x:c r="L41" s="508" t="str">
        <x:v>Une lecture continue des textes longs, sans ouvrir chaque note.</x:v>
      </x:c>
      <x:c r="M41" s="508" t="str">
        <x:v>Une lecture continue des textes longs, sans ouvrir chaque note.</x:v>
      </x:c>
      <x:c r="N41" s="498"/>
    </x:row>
    <x:row r="42" ht="18" customHeight="1">
      <x:c r="A42" s="498"/>
      <x:c r="B42" s="498"/>
      <x:c r="C42" s="498"/>
      <x:c r="D42" s="498"/>
      <x:c r="E42" s="498"/>
      <x:c r="F42" s="498"/>
      <x:c r="G42" s="498"/>
      <x:c r="H42" s="498"/>
      <x:c r="I42" s="498"/>
      <x:c r="J42" s="498"/>
      <x:c r="K42" s="498"/>
      <x:c r="L42" s="498"/>
      <x:c r="M42" s="498"/>
      <x:c r="N42" s="498"/>
    </x:row>
    <x:row r="43" ht="18" customHeight="1">
      <x:c r="A43" s="498"/>
      <x:c r="B43" s="512" t="str">
        <x:v>Lire les figures en français</x:v>
      </x:c>
      <x:c r="C43" s="512" t="str">
        <x:v>Lire les figures en français</x:v>
      </x:c>
      <x:c r="D43" s="512" t="str">
        <x:v>Lire les figures en français</x:v>
      </x:c>
      <x:c r="E43" s="512" t="str">
        <x:v>Lire les figures en français</x:v>
      </x:c>
      <x:c r="F43" s="512" t="str">
        <x:v>Lire les figures en français</x:v>
      </x:c>
      <x:c r="G43" s="508" t="str">
        <x:v>Les originaux sont conservés à côté de la traduction de leurs inscriptions.</x:v>
      </x:c>
      <x:c r="H43" s="508" t="str">
        <x:v>Les originaux sont conservés à côté de la traduction de leurs inscriptions.</x:v>
      </x:c>
      <x:c r="I43" s="508" t="str">
        <x:v>Les originaux sont conservés à côté de la traduction de leurs inscriptions.</x:v>
      </x:c>
      <x:c r="J43" s="508" t="str">
        <x:v>Les originaux sont conservés à côté de la traduction de leurs inscriptions.</x:v>
      </x:c>
      <x:c r="K43" s="508" t="str">
        <x:v>Les originaux sont conservés à côté de la traduction de leurs inscriptions.</x:v>
      </x:c>
      <x:c r="L43" s="508" t="str">
        <x:v>Les originaux sont conservés à côté de la traduction de leurs inscriptions.</x:v>
      </x:c>
      <x:c r="M43" s="508" t="str">
        <x:v>Les originaux sont conservés à côté de la traduction de leurs inscriptions.</x:v>
      </x:c>
      <x:c r="N43" s="498"/>
    </x:row>
    <x:row r="44" ht="18" customHeight="1">
      <x:c r="A44" s="498"/>
      <x:c r="B44" s="512" t="str">
        <x:v>Lire les figures en français</x:v>
      </x:c>
      <x:c r="C44" s="512" t="str">
        <x:v>Lire les figures en français</x:v>
      </x:c>
      <x:c r="D44" s="512" t="str">
        <x:v>Lire les figures en français</x:v>
      </x:c>
      <x:c r="E44" s="512" t="str">
        <x:v>Lire les figures en français</x:v>
      </x:c>
      <x:c r="F44" s="512" t="str">
        <x:v>Lire les figures en français</x:v>
      </x:c>
      <x:c r="G44" s="508" t="str">
        <x:v>Les originaux sont conservés à côté de la traduction de leurs inscriptions.</x:v>
      </x:c>
      <x:c r="H44" s="508" t="str">
        <x:v>Les originaux sont conservés à côté de la traduction de leurs inscriptions.</x:v>
      </x:c>
      <x:c r="I44" s="508" t="str">
        <x:v>Les originaux sont conservés à côté de la traduction de leurs inscriptions.</x:v>
      </x:c>
      <x:c r="J44" s="508" t="str">
        <x:v>Les originaux sont conservés à côté de la traduction de leurs inscriptions.</x:v>
      </x:c>
      <x:c r="K44" s="508" t="str">
        <x:v>Les originaux sont conservés à côté de la traduction de leurs inscriptions.</x:v>
      </x:c>
      <x:c r="L44" s="508" t="str">
        <x:v>Les originaux sont conservés à côté de la traduction de leurs inscriptions.</x:v>
      </x:c>
      <x:c r="M44" s="508" t="str">
        <x:v>Les originaux sont conservés à côté de la traduction de leurs inscriptions.</x:v>
      </x:c>
      <x:c r="N44" s="498"/>
    </x:row>
    <x:row r="45" ht="18" customHeight="1">
      <x:c r="A45" s="498"/>
      <x:c r="B45" s="498"/>
      <x:c r="C45" s="498"/>
      <x:c r="D45" s="498"/>
      <x:c r="E45" s="498"/>
      <x:c r="F45" s="498"/>
      <x:c r="G45" s="498"/>
      <x:c r="H45" s="498"/>
      <x:c r="I45" s="498"/>
      <x:c r="J45" s="498"/>
      <x:c r="K45" s="498"/>
      <x:c r="L45" s="498"/>
      <x:c r="M45" s="498"/>
      <x:c r="N45" s="498"/>
    </x:row>
    <x:row r="46" ht="18" customHeight="1">
      <x:c r="A46" s="498"/>
      <x:c r="B46" s="498"/>
      <x:c r="C46" s="498"/>
      <x:c r="D46" s="498"/>
      <x:c r="E46" s="498"/>
      <x:c r="F46" s="498"/>
      <x:c r="G46" s="498"/>
      <x:c r="H46" s="498"/>
      <x:c r="I46" s="498"/>
      <x:c r="J46" s="498"/>
      <x:c r="K46" s="498"/>
      <x:c r="L46" s="498"/>
      <x:c r="M46" s="498"/>
      <x:c r="N46" s="498"/>
    </x:row>
    <x:row r="47">
      <x:c r="B47" s="520" t="str">
        <x:v>Source : Randys-Varroa-Model-V2026 Web.xlsx, fourni pour traduction. © Randy Oliver / Scientific Beekeeping. Traduction non officielle. Les chiffres, formules et observations historiques du fichier sont conservés.</x:v>
      </x:c>
      <x:c r="C47" s="520" t="str">
        <x:v>Source : Randys-Varroa-Model-V2026 Web.xlsx, fourni pour traduction. © Randy Oliver / Scientific Beekeeping. Traduction non officielle. Les chiffres, formules et observations historiques du fichier sont conservés.</x:v>
      </x:c>
      <x:c r="D47" s="520" t="str">
        <x:v>Source : Randys-Varroa-Model-V2026 Web.xlsx, fourni pour traduction. © Randy Oliver / Scientific Beekeeping. Traduction non officielle. Les chiffres, formules et observations historiques du fichier sont conservés.</x:v>
      </x:c>
      <x:c r="E47" s="520" t="str">
        <x:v>Source : Randys-Varroa-Model-V2026 Web.xlsx, fourni pour traduction. © Randy Oliver / Scientific Beekeeping. Traduction non officielle. Les chiffres, formules et observations historiques du fichier sont conservés.</x:v>
      </x:c>
      <x:c r="F47" s="520" t="str">
        <x:v>Source : Randys-Varroa-Model-V2026 Web.xlsx, fourni pour traduction. © Randy Oliver / Scientific Beekeeping. Traduction non officielle. Les chiffres, formules et observations historiques du fichier sont conservés.</x:v>
      </x:c>
      <x:c r="G47" s="520" t="str">
        <x:v>Source : Randys-Varroa-Model-V2026 Web.xlsx, fourni pour traduction. © Randy Oliver / Scientific Beekeeping. Traduction non officielle. Les chiffres, formules et observations historiques du fichier sont conservés.</x:v>
      </x:c>
      <x:c r="H47" s="520" t="str">
        <x:v>Source : Randys-Varroa-Model-V2026 Web.xlsx, fourni pour traduction. © Randy Oliver / Scientific Beekeeping. Traduction non officielle. Les chiffres, formules et observations historiques du fichier sont conservés.</x:v>
      </x:c>
      <x:c r="I47" s="520" t="str">
        <x:v>Source : Randys-Varroa-Model-V2026 Web.xlsx, fourni pour traduction. © Randy Oliver / Scientific Beekeeping. Traduction non officielle. Les chiffres, formules et observations historiques du fichier sont conservés.</x:v>
      </x:c>
      <x:c r="J47" s="520" t="str">
        <x:v>Source : Randys-Varroa-Model-V2026 Web.xlsx, fourni pour traduction. © Randy Oliver / Scientific Beekeeping. Traduction non officielle. Les chiffres, formules et observations historiques du fichier sont conservés.</x:v>
      </x:c>
      <x:c r="K47" s="520" t="str">
        <x:v>Source : Randys-Varroa-Model-V2026 Web.xlsx, fourni pour traduction. © Randy Oliver / Scientific Beekeeping. Traduction non officielle. Les chiffres, formules et observations historiques du fichier sont conservés.</x:v>
      </x:c>
      <x:c r="L47" s="520" t="str">
        <x:v>Source : Randys-Varroa-Model-V2026 Web.xlsx, fourni pour traduction. © Randy Oliver / Scientific Beekeeping. Traduction non officielle. Les chiffres, formules et observations historiques du fichier sont conservés.</x:v>
      </x:c>
      <x:c r="M47" s="520" t="str">
        <x:v>Source : Randys-Varroa-Model-V2026 Web.xlsx, fourni pour traduction. © Randy Oliver / Scientific Beekeeping. Traduction non officielle. Les chiffres, formules et observations historiques du fichier sont conservés.</x:v>
      </x:c>
    </x:row>
    <x:row r="48">
      <x:c r="B48" s="520" t="str">
        <x:v>Source : Randys-Varroa-Model-V2026 Web.xlsx, fourni pour traduction. © Randy Oliver / Scientific Beekeeping. Traduction non officielle. Les chiffres, formules et observations historiques du fichier sont conservés.</x:v>
      </x:c>
      <x:c r="C48" s="520" t="str">
        <x:v>Source : Randys-Varroa-Model-V2026 Web.xlsx, fourni pour traduction. © Randy Oliver / Scientific Beekeeping. Traduction non officielle. Les chiffres, formules et observations historiques du fichier sont conservés.</x:v>
      </x:c>
      <x:c r="D48" s="520" t="str">
        <x:v>Source : Randys-Varroa-Model-V2026 Web.xlsx, fourni pour traduction. © Randy Oliver / Scientific Beekeeping. Traduction non officielle. Les chiffres, formules et observations historiques du fichier sont conservés.</x:v>
      </x:c>
      <x:c r="E48" s="520" t="str">
        <x:v>Source : Randys-Varroa-Model-V2026 Web.xlsx, fourni pour traduction. © Randy Oliver / Scientific Beekeeping. Traduction non officielle. Les chiffres, formules et observations historiques du fichier sont conservés.</x:v>
      </x:c>
      <x:c r="F48" s="520" t="str">
        <x:v>Source : Randys-Varroa-Model-V2026 Web.xlsx, fourni pour traduction. © Randy Oliver / Scientific Beekeeping. Traduction non officielle. Les chiffres, formules et observations historiques du fichier sont conservés.</x:v>
      </x:c>
      <x:c r="G48" s="520" t="str">
        <x:v>Source : Randys-Varroa-Model-V2026 Web.xlsx, fourni pour traduction. © Randy Oliver / Scientific Beekeeping. Traduction non officielle. Les chiffres, formules et observations historiques du fichier sont conservés.</x:v>
      </x:c>
      <x:c r="H48" s="520" t="str">
        <x:v>Source : Randys-Varroa-Model-V2026 Web.xlsx, fourni pour traduction. © Randy Oliver / Scientific Beekeeping. Traduction non officielle. Les chiffres, formules et observations historiques du fichier sont conservés.</x:v>
      </x:c>
      <x:c r="I48" s="520" t="str">
        <x:v>Source : Randys-Varroa-Model-V2026 Web.xlsx, fourni pour traduction. © Randy Oliver / Scientific Beekeeping. Traduction non officielle. Les chiffres, formules et observations historiques du fichier sont conservés.</x:v>
      </x:c>
      <x:c r="J48" s="520" t="str">
        <x:v>Source : Randys-Varroa-Model-V2026 Web.xlsx, fourni pour traduction. © Randy Oliver / Scientific Beekeeping. Traduction non officielle. Les chiffres, formules et observations historiques du fichier sont conservés.</x:v>
      </x:c>
      <x:c r="K48" s="520" t="str">
        <x:v>Source : Randys-Varroa-Model-V2026 Web.xlsx, fourni pour traduction. © Randy Oliver / Scientific Beekeeping. Traduction non officielle. Les chiffres, formules et observations historiques du fichier sont conservés.</x:v>
      </x:c>
      <x:c r="L48" s="520" t="str">
        <x:v>Source : Randys-Varroa-Model-V2026 Web.xlsx, fourni pour traduction. © Randy Oliver / Scientific Beekeeping. Traduction non officielle. Les chiffres, formules et observations historiques du fichier sont conservés.</x:v>
      </x:c>
      <x:c r="M48" s="520" t="str">
        <x:v>Source : Randys-Varroa-Model-V2026 Web.xlsx, fourni pour traduction. © Randy Oliver / Scientific Beekeeping. Traduction non officielle. Les chiffres, formules et observations historiques du fichier sont conservés.</x:v>
      </x:c>
    </x:row>
    <x:row r="49">
      <x:c r="B49" s="520" t="str">
        <x:v>Source : Randys-Varroa-Model-V2026 Web.xlsx, fourni pour traduction. © Randy Oliver / Scientific Beekeeping. Traduction non officielle. Les chiffres, formules et observations historiques du fichier sont conservés.</x:v>
      </x:c>
      <x:c r="C49" s="520" t="str">
        <x:v>Source : Randys-Varroa-Model-V2026 Web.xlsx, fourni pour traduction. © Randy Oliver / Scientific Beekeeping. Traduction non officielle. Les chiffres, formules et observations historiques du fichier sont conservés.</x:v>
      </x:c>
      <x:c r="D49" s="520" t="str">
        <x:v>Source : Randys-Varroa-Model-V2026 Web.xlsx, fourni pour traduction. © Randy Oliver / Scientific Beekeeping. Traduction non officielle. Les chiffres, formules et observations historiques du fichier sont conservés.</x:v>
      </x:c>
      <x:c r="E49" s="520" t="str">
        <x:v>Source : Randys-Varroa-Model-V2026 Web.xlsx, fourni pour traduction. © Randy Oliver / Scientific Beekeeping. Traduction non officielle. Les chiffres, formules et observations historiques du fichier sont conservés.</x:v>
      </x:c>
      <x:c r="F49" s="520" t="str">
        <x:v>Source : Randys-Varroa-Model-V2026 Web.xlsx, fourni pour traduction. © Randy Oliver / Scientific Beekeeping. Traduction non officielle. Les chiffres, formules et observations historiques du fichier sont conservés.</x:v>
      </x:c>
      <x:c r="G49" s="520" t="str">
        <x:v>Source : Randys-Varroa-Model-V2026 Web.xlsx, fourni pour traduction. © Randy Oliver / Scientific Beekeeping. Traduction non officielle. Les chiffres, formules et observations historiques du fichier sont conservés.</x:v>
      </x:c>
      <x:c r="H49" s="520" t="str">
        <x:v>Source : Randys-Varroa-Model-V2026 Web.xlsx, fourni pour traduction. © Randy Oliver / Scientific Beekeeping. Traduction non officielle. Les chiffres, formules et observations historiques du fichier sont conservés.</x:v>
      </x:c>
      <x:c r="I49" s="520" t="str">
        <x:v>Source : Randys-Varroa-Model-V2026 Web.xlsx, fourni pour traduction. © Randy Oliver / Scientific Beekeeping. Traduction non officielle. Les chiffres, formules et observations historiques du fichier sont conservés.</x:v>
      </x:c>
      <x:c r="J49" s="520" t="str">
        <x:v>Source : Randys-Varroa-Model-V2026 Web.xlsx, fourni pour traduction. © Randy Oliver / Scientific Beekeeping. Traduction non officielle. Les chiffres, formules et observations historiques du fichier sont conservés.</x:v>
      </x:c>
      <x:c r="K49" s="520" t="str">
        <x:v>Source : Randys-Varroa-Model-V2026 Web.xlsx, fourni pour traduction. © Randy Oliver / Scientific Beekeeping. Traduction non officielle. Les chiffres, formules et observations historiques du fichier sont conservés.</x:v>
      </x:c>
      <x:c r="L49" s="520" t="str">
        <x:v>Source : Randys-Varroa-Model-V2026 Web.xlsx, fourni pour traduction. © Randy Oliver / Scientific Beekeeping. Traduction non officielle. Les chiffres, formules et observations historiques du fichier sont conservés.</x:v>
      </x:c>
      <x:c r="M49" s="520" t="str">
        <x:v>Source : Randys-Varroa-Model-V2026 Web.xlsx, fourni pour traduction. © Randy Oliver / Scientific Beekeeping. Traduction non officielle. Les chiffres, formules et observations historiques du fichier sont conservés.</x:v>
      </x:c>
    </x:row>
    <x:row r="50">
      <x:c r="B50" s="521"/>
      <x:c r="C50" s="521"/>
      <x:c r="D50" s="521"/>
      <x:c r="E50" s="521"/>
      <x:c r="F50" s="521"/>
      <x:c r="G50" s="521"/>
      <x:c r="H50" s="521"/>
      <x:c r="I50" s="521"/>
      <x:c r="J50" s="521"/>
      <x:c r="K50" s="521"/>
      <x:c r="L50" s="521"/>
      <x:c r="M50" s="521"/>
    </x:row>
    <x:row r="51">
      <x:c r="B51" s="520" t="str">
        <x:v>À ouvrir de préférence dans Microsoft Excel, comme le recommande le document original. Les traductions des noms de fonctions s’affichent selon la langue d’Excel. Les noms propres, références bibliographiques et codes techniques utiles sont conservés.</x:v>
      </x:c>
      <x:c r="C51" s="520" t="str">
        <x:v>À ouvrir de préférence dans Microsoft Excel, comme le recommande le document original. Les traductions des noms de fonctions s’affichent selon la langue d’Excel. Les noms propres, références bibliographiques et codes techniques utiles sont conservés.</x:v>
      </x:c>
      <x:c r="D51" s="520" t="str">
        <x:v>À ouvrir de préférence dans Microsoft Excel, comme le recommande le document original. Les traductions des noms de fonctions s’affichent selon la langue d’Excel. Les noms propres, références bibliographiques et codes techniques utiles sont conservés.</x:v>
      </x:c>
      <x:c r="E51" s="520" t="str">
        <x:v>À ouvrir de préférence dans Microsoft Excel, comme le recommande le document original. Les traductions des noms de fonctions s’affichent selon la langue d’Excel. Les noms propres, références bibliographiques et codes techniques utiles sont conservés.</x:v>
      </x:c>
      <x:c r="F51" s="520" t="str">
        <x:v>À ouvrir de préférence dans Microsoft Excel, comme le recommande le document original. Les traductions des noms de fonctions s’affichent selon la langue d’Excel. Les noms propres, références bibliographiques et codes techniques utiles sont conservés.</x:v>
      </x:c>
      <x:c r="G51" s="520" t="str">
        <x:v>À ouvrir de préférence dans Microsoft Excel, comme le recommande le document original. Les traductions des noms de fonctions s’affichent selon la langue d’Excel. Les noms propres, références bibliographiques et codes techniques utiles sont conservés.</x:v>
      </x:c>
      <x:c r="H51" s="520" t="str">
        <x:v>À ouvrir de préférence dans Microsoft Excel, comme le recommande le document original. Les traductions des noms de fonctions s’affichent selon la langue d’Excel. Les noms propres, références bibliographiques et codes techniques utiles sont conservés.</x:v>
      </x:c>
      <x:c r="I51" s="520" t="str">
        <x:v>À ouvrir de préférence dans Microsoft Excel, comme le recommande le document original. Les traductions des noms de fonctions s’affichent selon la langue d’Excel. Les noms propres, références bibliographiques et codes techniques utiles sont conservés.</x:v>
      </x:c>
      <x:c r="J51" s="520" t="str">
        <x:v>À ouvrir de préférence dans Microsoft Excel, comme le recommande le document original. Les traductions des noms de fonctions s’affichent selon la langue d’Excel. Les noms propres, références bibliographiques et codes techniques utiles sont conservés.</x:v>
      </x:c>
      <x:c r="K51" s="520" t="str">
        <x:v>À ouvrir de préférence dans Microsoft Excel, comme le recommande le document original. Les traductions des noms de fonctions s’affichent selon la langue d’Excel. Les noms propres, références bibliographiques et codes techniques utiles sont conservés.</x:v>
      </x:c>
      <x:c r="L51" s="520" t="str">
        <x:v>À ouvrir de préférence dans Microsoft Excel, comme le recommande le document original. Les traductions des noms de fonctions s’affichent selon la langue d’Excel. Les noms propres, références bibliographiques et codes techniques utiles sont conservés.</x:v>
      </x:c>
      <x:c r="M51" s="520" t="str">
        <x:v>À ouvrir de préférence dans Microsoft Excel, comme le recommande le document original. Les traductions des noms de fonctions s’affichent selon la langue d’Excel. Les noms propres, références bibliographiques et codes techniques utiles sont conservés.</x:v>
      </x:c>
    </x:row>
    <x:row r="52">
      <x:c r="B52" s="520" t="str">
        <x:v>À ouvrir de préférence dans Microsoft Excel, comme le recommande le document original. Les traductions des noms de fonctions s’affichent selon la langue d’Excel. Les noms propres, références bibliographiques et codes techniques utiles sont conservés.</x:v>
      </x:c>
      <x:c r="C52" s="520" t="str">
        <x:v>À ouvrir de préférence dans Microsoft Excel, comme le recommande le document original. Les traductions des noms de fonctions s’affichent selon la langue d’Excel. Les noms propres, références bibliographiques et codes techniques utiles sont conservés.</x:v>
      </x:c>
      <x:c r="D52" s="520" t="str">
        <x:v>À ouvrir de préférence dans Microsoft Excel, comme le recommande le document original. Les traductions des noms de fonctions s’affichent selon la langue d’Excel. Les noms propres, références bibliographiques et codes techniques utiles sont conservés.</x:v>
      </x:c>
      <x:c r="E52" s="520" t="str">
        <x:v>À ouvrir de préférence dans Microsoft Excel, comme le recommande le document original. Les traductions des noms de fonctions s’affichent selon la langue d’Excel. Les noms propres, références bibliographiques et codes techniques utiles sont conservés.</x:v>
      </x:c>
      <x:c r="F52" s="520" t="str">
        <x:v>À ouvrir de préférence dans Microsoft Excel, comme le recommande le document original. Les traductions des noms de fonctions s’affichent selon la langue d’Excel. Les noms propres, références bibliographiques et codes techniques utiles sont conservés.</x:v>
      </x:c>
      <x:c r="G52" s="520" t="str">
        <x:v>À ouvrir de préférence dans Microsoft Excel, comme le recommande le document original. Les traductions des noms de fonctions s’affichent selon la langue d’Excel. Les noms propres, références bibliographiques et codes techniques utiles sont conservés.</x:v>
      </x:c>
      <x:c r="H52" s="520" t="str">
        <x:v>À ouvrir de préférence dans Microsoft Excel, comme le recommande le document original. Les traductions des noms de fonctions s’affichent selon la langue d’Excel. Les noms propres, références bibliographiques et codes techniques utiles sont conservés.</x:v>
      </x:c>
      <x:c r="I52" s="520" t="str">
        <x:v>À ouvrir de préférence dans Microsoft Excel, comme le recommande le document original. Les traductions des noms de fonctions s’affichent selon la langue d’Excel. Les noms propres, références bibliographiques et codes techniques utiles sont conservés.</x:v>
      </x:c>
      <x:c r="J52" s="520" t="str">
        <x:v>À ouvrir de préférence dans Microsoft Excel, comme le recommande le document original. Les traductions des noms de fonctions s’affichent selon la langue d’Excel. Les noms propres, références bibliographiques et codes techniques utiles sont conservés.</x:v>
      </x:c>
      <x:c r="K52" s="520" t="str">
        <x:v>À ouvrir de préférence dans Microsoft Excel, comme le recommande le document original. Les traductions des noms de fonctions s’affichent selon la langue d’Excel. Les noms propres, références bibliographiques et codes techniques utiles sont conservés.</x:v>
      </x:c>
      <x:c r="L52" s="520" t="str">
        <x:v>À ouvrir de préférence dans Microsoft Excel, comme le recommande le document original. Les traductions des noms de fonctions s’affichent selon la langue d’Excel. Les noms propres, références bibliographiques et codes techniques utiles sont conservés.</x:v>
      </x:c>
      <x:c r="M52" s="520" t="str">
        <x:v>À ouvrir de préférence dans Microsoft Excel, comme le recommande le document original. Les traductions des noms de fonctions s’affichent selon la langue d’Excel. Les noms propres, références bibliographiques et codes techniques utiles sont conservés.</x:v>
      </x:c>
    </x:row>
    <x:row r="53">
      <x:c r="B53" s="520" t="str">
        <x:v>À ouvrir de préférence dans Microsoft Excel, comme le recommande le document original. Les traductions des noms de fonctions s’affichent selon la langue d’Excel. Les noms propres, références bibliographiques et codes techniques utiles sont conservés.</x:v>
      </x:c>
      <x:c r="C53" s="520" t="str">
        <x:v>À ouvrir de préférence dans Microsoft Excel, comme le recommande le document original. Les traductions des noms de fonctions s’affichent selon la langue d’Excel. Les noms propres, références bibliographiques et codes techniques utiles sont conservés.</x:v>
      </x:c>
      <x:c r="D53" s="520" t="str">
        <x:v>À ouvrir de préférence dans Microsoft Excel, comme le recommande le document original. Les traductions des noms de fonctions s’affichent selon la langue d’Excel. Les noms propres, références bibliographiques et codes techniques utiles sont conservés.</x:v>
      </x:c>
      <x:c r="E53" s="520" t="str">
        <x:v>À ouvrir de préférence dans Microsoft Excel, comme le recommande le document original. Les traductions des noms de fonctions s’affichent selon la langue d’Excel. Les noms propres, références bibliographiques et codes techniques utiles sont conservés.</x:v>
      </x:c>
      <x:c r="F53" s="520" t="str">
        <x:v>À ouvrir de préférence dans Microsoft Excel, comme le recommande le document original. Les traductions des noms de fonctions s’affichent selon la langue d’Excel. Les noms propres, références bibliographiques et codes techniques utiles sont conservés.</x:v>
      </x:c>
      <x:c r="G53" s="520" t="str">
        <x:v>À ouvrir de préférence dans Microsoft Excel, comme le recommande le document original. Les traductions des noms de fonctions s’affichent selon la langue d’Excel. Les noms propres, références bibliographiques et codes techniques utiles sont conservés.</x:v>
      </x:c>
      <x:c r="H53" s="520" t="str">
        <x:v>À ouvrir de préférence dans Microsoft Excel, comme le recommande le document original. Les traductions des noms de fonctions s’affichent selon la langue d’Excel. Les noms propres, références bibliographiques et codes techniques utiles sont conservés.</x:v>
      </x:c>
      <x:c r="I53" s="520" t="str">
        <x:v>À ouvrir de préférence dans Microsoft Excel, comme le recommande le document original. Les traductions des noms de fonctions s’affichent selon la langue d’Excel. Les noms propres, références bibliographiques et codes techniques utiles sont conservés.</x:v>
      </x:c>
      <x:c r="J53" s="520" t="str">
        <x:v>À ouvrir de préférence dans Microsoft Excel, comme le recommande le document original. Les traductions des noms de fonctions s’affichent selon la langue d’Excel. Les noms propres, références bibliographiques et codes techniques utiles sont conservés.</x:v>
      </x:c>
      <x:c r="K53" s="520" t="str">
        <x:v>À ouvrir de préférence dans Microsoft Excel, comme le recommande le document original. Les traductions des noms de fonctions s’affichent selon la langue d’Excel. Les noms propres, références bibliographiques et codes techniques utiles sont conservés.</x:v>
      </x:c>
      <x:c r="L53" s="520" t="str">
        <x:v>À ouvrir de préférence dans Microsoft Excel, comme le recommande le document original. Les traductions des noms de fonctions s’affichent selon la langue d’Excel. Les noms propres, références bibliographiques et codes techniques utiles sont conservés.</x:v>
      </x:c>
      <x:c r="M53" s="520" t="str">
        <x:v>À ouvrir de préférence dans Microsoft Excel, comme le recommande le document original. Les traductions des noms de fonctions s’affichent selon la langue d’Excel. Les noms propres, références bibliographiques et codes techniques utiles sont conservés.</x:v>
      </x:c>
    </x:row>
  </x:sheetData>
  <x:mergeCells>
    <x:mergeCell ref="B2:M3"/>
    <x:mergeCell ref="B5:M6"/>
    <x:mergeCell ref="B9:M11"/>
    <x:mergeCell ref="B13:F14"/>
    <x:mergeCell ref="G13:M14"/>
    <x:mergeCell ref="B15:F16"/>
    <x:mergeCell ref="G15:M16"/>
    <x:mergeCell ref="B17:F18"/>
    <x:mergeCell ref="G17:M18"/>
    <x:mergeCell ref="B19:F20"/>
    <x:mergeCell ref="G19:M20"/>
    <x:mergeCell ref="B21:F22"/>
    <x:mergeCell ref="G21:M22"/>
    <x:mergeCell ref="B23:F24"/>
    <x:mergeCell ref="G23:M24"/>
    <x:mergeCell ref="B25:F26"/>
    <x:mergeCell ref="G25:M26"/>
    <x:mergeCell ref="B27:F28"/>
    <x:mergeCell ref="G27:M28"/>
    <x:mergeCell ref="B29:F30"/>
    <x:mergeCell ref="G29:M30"/>
    <x:mergeCell ref="B31:F32"/>
    <x:mergeCell ref="G31:M32"/>
    <x:mergeCell ref="B33:F34"/>
    <x:mergeCell ref="G33:M34"/>
    <x:mergeCell ref="B35:F36"/>
    <x:mergeCell ref="G35:M36"/>
    <x:mergeCell ref="B37:F38"/>
    <x:mergeCell ref="G37:M38"/>
    <x:mergeCell ref="B40:F41"/>
    <x:mergeCell ref="G40:M41"/>
    <x:mergeCell ref="B43:F44"/>
    <x:mergeCell ref="G43:M44"/>
    <x:mergeCell ref="B47:M49"/>
    <x:mergeCell ref="B51:M53"/>
  </x:mergeCells>
  <x:hyperlinks>
    <x:hyperlink ref="B13" location="'Modèle principal'!A1"/>
    <x:hyperlink ref="B15" location="'Paramètres libres'!A1"/>
    <x:hyperlink ref="B17" location="'Densité ajustée'!A1"/>
    <x:hyperlink ref="B19" location="'Profils de colonie'!A1"/>
    <x:hyperlink ref="B21" location="'Réduction annuelle nécessaire'!A1"/>
    <x:hyperlink ref="B23" location="'Immigration de varroas'!A1"/>
    <x:hyperlink ref="B25" location="'Croissance comparée'!A1"/>
    <x:hyperlink ref="B27" location="'Taux de croissance r'!A1"/>
    <x:hyperlink ref="B29" location="'À propos du modèle'!A1"/>
    <x:hyperlink ref="B31" location="'Notes de version'!A1"/>
    <x:hyperlink ref="B33" location="'Population initiale'!A1"/>
    <x:hyperlink ref="B35" location="'Données à étudier'!A1"/>
    <x:hyperlink ref="B37" location="'Rupture de couvain'!A1"/>
    <x:hyperlink ref="B40" location="'Textes et notes'!A1"/>
    <x:hyperlink ref="B43" location="'Illustrations en français'!A1"/>
  </x:hyperlinks>
  <x:printOptions horizontalCentered="1"/>
  <x:pageMargins left="0.3" right="0.3" top="0.35" bottom="0.35" header="0.15" footer="0.15"/>
  <x:pageSetup paperSize="9" orientation="portrait" fitToWidth="1" fitToHeight="1"/>
</x:worksheet>
</file>

<file path=xl/fr/worksheets/sheet2.xml><?xml version="1.0" encoding="utf-8"?>
<x:worksheet xmlns:x="http://schemas.openxmlformats.org/spreadsheetml/2006/main">
  <x:sheetPr>
    <x:tabColor rgb="FF91A9A2"/>
    <x:pageSetUpPr fitToPage="1"/>
  </x:sheetPr>
  <x:sheetViews>
    <x:sheetView showGridLines="0" workbookViewId="0" zoomScale="85" topLeftCell="A1">
      <x:pane ySplit="3" topLeftCell="A4" activePane="bottomLeft" state="frozen"/>
    </x:sheetView>
  </x:sheetViews>
  <x:sheetFormatPr defaultRowHeight="15"/>
  <x:cols>
    <x:col min="1" max="1" width="3"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s>
  <x:sheetData>
    <x:row r="1" ht="18" customHeight="1">
      <x:c r="A1" s="498"/>
      <x:c r="B1" s="498"/>
      <x:c r="C1" s="498"/>
      <x:c r="D1" s="498"/>
      <x:c r="E1" s="498"/>
      <x:c r="F1" s="498"/>
      <x:c r="G1" s="498"/>
      <x:c r="H1" s="498"/>
      <x:c r="I1" s="498"/>
      <x:c r="J1" s="498"/>
      <x:c r="K1" s="498"/>
      <x:c r="L1" s="498"/>
      <x:c r="M1" s="498"/>
    </x:row>
    <x:row r="2" ht="18" customHeight="1">
      <x:c r="A2" s="498"/>
      <x:c r="B2" s="501" t="str">
        <x:v>Textes et notes du classeur</x:v>
      </x:c>
      <x:c r="C2" s="501" t="str">
        <x:v>Textes et notes du classeur</x:v>
      </x:c>
      <x:c r="D2" s="501" t="str">
        <x:v>Textes et notes du classeur</x:v>
      </x:c>
      <x:c r="E2" s="501" t="str">
        <x:v>Textes et notes du classeur</x:v>
      </x:c>
      <x:c r="F2" s="501" t="str">
        <x:v>Textes et notes du classeur</x:v>
      </x:c>
      <x:c r="G2" s="501" t="str">
        <x:v>Textes et notes du classeur</x:v>
      </x:c>
      <x:c r="H2" s="501" t="str">
        <x:v>Textes et notes du classeur</x:v>
      </x:c>
      <x:c r="I2" s="501" t="str">
        <x:v>Textes et notes du classeur</x:v>
      </x:c>
      <x:c r="J2" s="501" t="str">
        <x:v>Textes et notes du classeur</x:v>
      </x:c>
      <x:c r="K2" s="501" t="str">
        <x:v>Textes et notes du classeur</x:v>
      </x:c>
      <x:c r="L2" s="501" t="str">
        <x:v>Textes et notes du classeur</x:v>
      </x:c>
      <x:c r="M2" s="501" t="str">
        <x:v>Textes et notes du classeur</x:v>
      </x:c>
    </x:row>
    <x:row r="3" ht="18" customHeight="1">
      <x:c r="A3" s="498"/>
      <x:c r="B3" s="501" t="str">
        <x:v>Textes et notes du classeur</x:v>
      </x:c>
      <x:c r="C3" s="501" t="str">
        <x:v>Textes et notes du classeur</x:v>
      </x:c>
      <x:c r="D3" s="501" t="str">
        <x:v>Textes et notes du classeur</x:v>
      </x:c>
      <x:c r="E3" s="501" t="str">
        <x:v>Textes et notes du classeur</x:v>
      </x:c>
      <x:c r="F3" s="501" t="str">
        <x:v>Textes et notes du classeur</x:v>
      </x:c>
      <x:c r="G3" s="501" t="str">
        <x:v>Textes et notes du classeur</x:v>
      </x:c>
      <x:c r="H3" s="501" t="str">
        <x:v>Textes et notes du classeur</x:v>
      </x:c>
      <x:c r="I3" s="501" t="str">
        <x:v>Textes et notes du classeur</x:v>
      </x:c>
      <x:c r="J3" s="501" t="str">
        <x:v>Textes et notes du classeur</x:v>
      </x:c>
      <x:c r="K3" s="501" t="str">
        <x:v>Textes et notes du classeur</x:v>
      </x:c>
      <x:c r="L3" s="501" t="str">
        <x:v>Textes et notes du classeur</x:v>
      </x:c>
      <x:c r="M3" s="501" t="str">
        <x:v>Textes et notes du classeur</x:v>
      </x:c>
    </x:row>
    <x:row r="4" ht="18" customHeight="1">
      <x:c r="A4" s="498"/>
      <x:c r="B4" s="498"/>
      <x:c r="C4" s="498"/>
      <x:c r="D4" s="498"/>
      <x:c r="E4" s="498"/>
      <x:c r="F4" s="498"/>
      <x:c r="G4" s="498"/>
      <x:c r="H4" s="498"/>
      <x:c r="I4" s="498"/>
      <x:c r="J4" s="498"/>
      <x:c r="K4" s="498"/>
      <x:c r="L4" s="498"/>
      <x:c r="M4" s="498"/>
    </x:row>
    <x:row r="5" ht="18" customHeight="1">
      <x:c r="A5" s="498"/>
      <x:c r="B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C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D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E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F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G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H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I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J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K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L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M5"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row>
    <x:row r="6" ht="18" customHeight="1">
      <x:c r="A6" s="498"/>
      <x:c r="B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C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D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E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F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G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H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I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J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K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L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M6"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row>
    <x:row r="7" ht="18" customHeight="1">
      <x:c r="A7" s="498"/>
      <x:c r="B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C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D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E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F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G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H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I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J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K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L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c r="M7" s="508" t="str">
        <x:v>Traduction intégrale des explications longues et des commentaires existants. Les passages répétés à l’identique dans plusieurs variantes sont regroupés ici ; ils restent présents dans chaque feuille d’origine. Les références indiquent où retrouver le texte.</x:v>
      </x:c>
    </x:row>
    <x:row r="8" ht="18" customHeight="1">
      <x:c r="A8" s="498"/>
      <x:c r="B8" s="498"/>
      <x:c r="C8" s="498"/>
      <x:c r="D8" s="498"/>
      <x:c r="E8" s="498"/>
      <x:c r="F8" s="498"/>
      <x:c r="G8" s="498"/>
      <x:c r="H8" s="498"/>
      <x:c r="I8" s="498"/>
      <x:c r="J8" s="498"/>
      <x:c r="K8" s="498"/>
      <x:c r="L8" s="498"/>
      <x:c r="M8" s="498"/>
    </x:row>
    <x:row r="9" ht="18" customHeight="1">
      <x:c r="A9" s="498"/>
      <x:c r="B9" s="498"/>
      <x:c r="C9" s="498"/>
      <x:c r="D9" s="498"/>
      <x:c r="E9" s="498"/>
      <x:c r="F9" s="498"/>
      <x:c r="G9" s="498"/>
      <x:c r="H9" s="498"/>
      <x:c r="I9" s="498"/>
      <x:c r="J9" s="498"/>
      <x:c r="K9" s="498"/>
      <x:c r="L9" s="498"/>
      <x:c r="M9" s="498"/>
    </x:row>
    <x:row r="10" ht="18" customHeight="1">
      <x:c r="A10" s="498"/>
      <x:c r="B10" s="525" t="str">
        <x:v>Modèle principal</x:v>
      </x:c>
      <x:c r="C10" s="525" t="str">
        <x:v>Modèle principal</x:v>
      </x:c>
      <x:c r="D10" s="525" t="str">
        <x:v>Modèle principal</x:v>
      </x:c>
      <x:c r="E10" s="525" t="str">
        <x:v>Modèle principal</x:v>
      </x:c>
      <x:c r="F10" s="525" t="str">
        <x:v>Modèle principal</x:v>
      </x:c>
      <x:c r="G10" s="525" t="str">
        <x:v>Modèle principal</x:v>
      </x:c>
      <x:c r="H10" s="525" t="str">
        <x:v>Modèle principal</x:v>
      </x:c>
      <x:c r="I10" s="525" t="str">
        <x:v>Modèle principal</x:v>
      </x:c>
      <x:c r="J10" s="525" t="str">
        <x:v>Modèle principal</x:v>
      </x:c>
      <x:c r="K10" s="525" t="str">
        <x:v>Modèle principal</x:v>
      </x:c>
      <x:c r="L10" s="525" t="str">
        <x:v>Modèle principal</x:v>
      </x:c>
      <x:c r="M10" s="525" t="str">
        <x:v>Modèle principal</x:v>
      </x:c>
    </x:row>
    <x:row r="11" ht="18" customHeight="1">
      <x:c r="A11" s="498"/>
      <x:c r="B11" s="525" t="str">
        <x:v>Modèle principal</x:v>
      </x:c>
      <x:c r="C11" s="525" t="str">
        <x:v>Modèle principal</x:v>
      </x:c>
      <x:c r="D11" s="525" t="str">
        <x:v>Modèle principal</x:v>
      </x:c>
      <x:c r="E11" s="525" t="str">
        <x:v>Modèle principal</x:v>
      </x:c>
      <x:c r="F11" s="525" t="str">
        <x:v>Modèle principal</x:v>
      </x:c>
      <x:c r="G11" s="525" t="str">
        <x:v>Modèle principal</x:v>
      </x:c>
      <x:c r="H11" s="525" t="str">
        <x:v>Modèle principal</x:v>
      </x:c>
      <x:c r="I11" s="525" t="str">
        <x:v>Modèle principal</x:v>
      </x:c>
      <x:c r="J11" s="525" t="str">
        <x:v>Modèle principal</x:v>
      </x:c>
      <x:c r="K11" s="525" t="str">
        <x:v>Modèle principal</x:v>
      </x:c>
      <x:c r="L11" s="525" t="str">
        <x:v>Modèle principal</x:v>
      </x:c>
      <x:c r="M11" s="525" t="str">
        <x:v>Modèle principal</x:v>
      </x:c>
    </x:row>
    <x:row r="12" ht="18" customHeight="1">
      <x:c r="A12" s="498"/>
      <x:c r="B12" s="498"/>
      <x:c r="C12" s="498"/>
      <x:c r="D12" s="498"/>
      <x:c r="E12" s="498"/>
      <x:c r="F12" s="498"/>
      <x:c r="G12" s="498"/>
      <x:c r="H12" s="498"/>
      <x:c r="I12" s="498"/>
      <x:c r="J12" s="498"/>
      <x:c r="K12" s="498"/>
      <x:c r="L12" s="498"/>
      <x:c r="M12" s="498"/>
    </x:row>
    <x:row r="13" ht="18" customHeight="1">
      <x:c r="A13" s="498"/>
      <x:c r="B13" s="529" t="str">
        <x:v>Explication de Randy Oliver · AJ62</x:v>
      </x:c>
      <x:c r="C13" s="529" t="str">
        <x:v>Explication de Randy Oliver · AJ62</x:v>
      </x:c>
      <x:c r="D13" s="529" t="str">
        <x:v>Explication de Randy Oliver · AJ62</x:v>
      </x:c>
      <x:c r="E13" s="529" t="str">
        <x:v>Explication de Randy Oliver · AJ62</x:v>
      </x:c>
      <x:c r="F13" s="529" t="str">
        <x:v>Explication de Randy Oliver · AJ62</x:v>
      </x:c>
      <x:c r="G13" s="529" t="str">
        <x:v>Explication de Randy Oliver · AJ62</x:v>
      </x:c>
      <x:c r="H13" s="529" t="str">
        <x:v>Explication de Randy Oliver · AJ62</x:v>
      </x:c>
      <x:c r="I13" s="529" t="str">
        <x:v>Explication de Randy Oliver · AJ62</x:v>
      </x:c>
      <x:c r="J13" s="529" t="str">
        <x:v>Explication de Randy Oliver · AJ62</x:v>
      </x:c>
      <x:c r="K13" s="529" t="str">
        <x:v>Explication de Randy Oliver · AJ62</x:v>
      </x:c>
      <x:c r="L13" s="529" t="str">
        <x:v>Explication de Randy Oliver · AJ62</x:v>
      </x:c>
      <x:c r="M13" s="529" t="str">
        <x:v>Explication de Randy Oliver · AJ62</x:v>
      </x:c>
    </x:row>
    <x:row r="14" ht="56.400001525878906" customHeight="1">
      <x:c r="A14" s="498"/>
      <x:c r="B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C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D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E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F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G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H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I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J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K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L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c r="M14" s="508" t="str">
        <x:v>Comme le montre le tableau de gauche, si le taux logarithmique quotidien r est abaissé à 0,002, comme dans une lignée d’abeilles très résistante aux varroas, il faudrait environ un an pour que la population de varroas d’une ruche double (sans tenir compte de l’immigration).</x:v>
      </x:c>
    </x:row>
    <x:row r="15" ht="41.599998474121094" customHeight="1">
      <x:c r="A15" s="498"/>
      <x:c r="B15" s="508" t="str">
        <x:v>Dans toutes les lignées, le taux d’accroissement est contrebalancé par le taux de mortalité des varroas, lié au vieillissement, au toilettage, à l’émigration et aux traitements.</x:v>
      </x:c>
      <x:c r="C15" s="508" t="str">
        <x:v>Dans toutes les lignées, le taux d’accroissement est contrebalancé par le taux de mortalité des varroas, lié au vieillissement, au toilettage, à l’émigration et aux traitements.</x:v>
      </x:c>
      <x:c r="D15" s="508" t="str">
        <x:v>Dans toutes les lignées, le taux d’accroissement est contrebalancé par le taux de mortalité des varroas, lié au vieillissement, au toilettage, à l’émigration et aux traitements.</x:v>
      </x:c>
      <x:c r="E15" s="508" t="str">
        <x:v>Dans toutes les lignées, le taux d’accroissement est contrebalancé par le taux de mortalité des varroas, lié au vieillissement, au toilettage, à l’émigration et aux traitements.</x:v>
      </x:c>
      <x:c r="F15" s="508" t="str">
        <x:v>Dans toutes les lignées, le taux d’accroissement est contrebalancé par le taux de mortalité des varroas, lié au vieillissement, au toilettage, à l’émigration et aux traitements.</x:v>
      </x:c>
      <x:c r="G15" s="508" t="str">
        <x:v>Dans toutes les lignées, le taux d’accroissement est contrebalancé par le taux de mortalité des varroas, lié au vieillissement, au toilettage, à l’émigration et aux traitements.</x:v>
      </x:c>
      <x:c r="H15" s="508" t="str">
        <x:v>Dans toutes les lignées, le taux d’accroissement est contrebalancé par le taux de mortalité des varroas, lié au vieillissement, au toilettage, à l’émigration et aux traitements.</x:v>
      </x:c>
      <x:c r="I15" s="508" t="str">
        <x:v>Dans toutes les lignées, le taux d’accroissement est contrebalancé par le taux de mortalité des varroas, lié au vieillissement, au toilettage, à l’émigration et aux traitements.</x:v>
      </x:c>
      <x:c r="J15" s="508" t="str">
        <x:v>Dans toutes les lignées, le taux d’accroissement est contrebalancé par le taux de mortalité des varroas, lié au vieillissement, au toilettage, à l’émigration et aux traitements.</x:v>
      </x:c>
      <x:c r="K15" s="508" t="str">
        <x:v>Dans toutes les lignées, le taux d’accroissement est contrebalancé par le taux de mortalité des varroas, lié au vieillissement, au toilettage, à l’émigration et aux traitements.</x:v>
      </x:c>
      <x:c r="L15" s="508" t="str">
        <x:v>Dans toutes les lignées, le taux d’accroissement est contrebalancé par le taux de mortalité des varroas, lié au vieillissement, au toilettage, à l’émigration et aux traitements.</x:v>
      </x:c>
      <x:c r="M15" s="508" t="str">
        <x:v>Dans toutes les lignées, le taux d’accroissement est contrebalancé par le taux de mortalité des varroas, lié au vieillissement, au toilettage, à l’émigration et aux traitements.</x:v>
      </x:c>
    </x:row>
    <x:row r="16" ht="56.400001525878906" customHeight="1">
      <x:c r="A16" s="498"/>
      <x:c r="B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C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D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E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F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G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H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I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J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K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L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c r="M16" s="508" t="str">
        <x:v>Le point essentiel est que les varroas ne peuvent augmenter que pendant les mois où la colonie élève du couvain ; le reste de l’année, seul le taux de perte des varroas s’applique. C’est pourquoi les varroas posent davantage de problèmes dans les régions aux hivers courts.</x:v>
      </x:c>
    </x:row>
    <x:row r="17" ht="18" customHeight="1">
      <x:c r="A17" s="498"/>
      <x:c r="B17" s="498"/>
      <x:c r="C17" s="498"/>
      <x:c r="D17" s="498"/>
      <x:c r="E17" s="498"/>
      <x:c r="F17" s="498"/>
      <x:c r="G17" s="498"/>
      <x:c r="H17" s="498"/>
      <x:c r="I17" s="498"/>
      <x:c r="J17" s="498"/>
      <x:c r="K17" s="498"/>
      <x:c r="L17" s="498"/>
      <x:c r="M17" s="498"/>
    </x:row>
    <x:row r="18" ht="18" customHeight="1">
      <x:c r="A18" s="498"/>
      <x:c r="B18" s="529" t="str">
        <x:v>Explication de Randy Oliver · EJ61</x:v>
      </x:c>
      <x:c r="C18" s="529" t="str">
        <x:v>Explication de Randy Oliver · EJ61</x:v>
      </x:c>
      <x:c r="D18" s="529" t="str">
        <x:v>Explication de Randy Oliver · EJ61</x:v>
      </x:c>
      <x:c r="E18" s="529" t="str">
        <x:v>Explication de Randy Oliver · EJ61</x:v>
      </x:c>
      <x:c r="F18" s="529" t="str">
        <x:v>Explication de Randy Oliver · EJ61</x:v>
      </x:c>
      <x:c r="G18" s="529" t="str">
        <x:v>Explication de Randy Oliver · EJ61</x:v>
      </x:c>
      <x:c r="H18" s="529" t="str">
        <x:v>Explication de Randy Oliver · EJ61</x:v>
      </x:c>
      <x:c r="I18" s="529" t="str">
        <x:v>Explication de Randy Oliver · EJ61</x:v>
      </x:c>
      <x:c r="J18" s="529" t="str">
        <x:v>Explication de Randy Oliver · EJ61</x:v>
      </x:c>
      <x:c r="K18" s="529" t="str">
        <x:v>Explication de Randy Oliver · EJ61</x:v>
      </x:c>
      <x:c r="L18" s="529" t="str">
        <x:v>Explication de Randy Oliver · EJ61</x:v>
      </x:c>
      <x:c r="M18" s="529" t="str">
        <x:v>Explication de Randy Oliver · EJ61</x:v>
      </x:c>
    </x:row>
    <x:row r="19" ht="100.80000305175781" customHeight="1">
      <x:c r="A19" s="498"/>
      <x:c r="B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C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D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E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F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G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H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I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J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K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L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c r="M19" s="508" t="str">
        <x:v>De Ruijter a constaté que des varroas transférés artificiellement pouvaient se reproduire pendant un maximum de 7 cycles, mais que seulement 10 % des varroas testés réussissaient à se reproduire pendant plus de 1 cycle. Même parmi ceux qui se reproduisaient sur plusieurs cycles, le pourcentage pondant à la fois des œufs mâles et femelles diminuait fortement après 5 cycles. Comme un cycle habituel dure environ 17 jours, j’ai arbitrairement arrêté la reproduction réussie lorsque les varroas atteignaient l’âge de 75 jours. Il pourrait tout à fait s’agir d’une surestimation.</x:v>
      </x:c>
    </x:row>
    <x:row r="20" ht="41.599998474121094" customHeight="1">
      <x:c r="A20" s="498"/>
      <x:c r="B20" s="508" t="str">
        <x:v>De Ruijter, A (1987). Reproduction de Varroa jacobsoni au cours de cycles successifs de couvain de l’abeille mellifère. Apidologie 18(4): 321–326.</x:v>
      </x:c>
      <x:c r="C20" s="508" t="str">
        <x:v>De Ruijter, A (1987). Reproduction de Varroa jacobsoni au cours de cycles successifs de couvain de l’abeille mellifère. Apidologie 18(4): 321–326.</x:v>
      </x:c>
      <x:c r="D20" s="508" t="str">
        <x:v>De Ruijter, A (1987). Reproduction de Varroa jacobsoni au cours de cycles successifs de couvain de l’abeille mellifère. Apidologie 18(4): 321–326.</x:v>
      </x:c>
      <x:c r="E20" s="508" t="str">
        <x:v>De Ruijter, A (1987). Reproduction de Varroa jacobsoni au cours de cycles successifs de couvain de l’abeille mellifère. Apidologie 18(4): 321–326.</x:v>
      </x:c>
      <x:c r="F20" s="508" t="str">
        <x:v>De Ruijter, A (1987). Reproduction de Varroa jacobsoni au cours de cycles successifs de couvain de l’abeille mellifère. Apidologie 18(4): 321–326.</x:v>
      </x:c>
      <x:c r="G20" s="508" t="str">
        <x:v>De Ruijter, A (1987). Reproduction de Varroa jacobsoni au cours de cycles successifs de couvain de l’abeille mellifère. Apidologie 18(4): 321–326.</x:v>
      </x:c>
      <x:c r="H20" s="508" t="str">
        <x:v>De Ruijter, A (1987). Reproduction de Varroa jacobsoni au cours de cycles successifs de couvain de l’abeille mellifère. Apidologie 18(4): 321–326.</x:v>
      </x:c>
      <x:c r="I20" s="508" t="str">
        <x:v>De Ruijter, A (1987). Reproduction de Varroa jacobsoni au cours de cycles successifs de couvain de l’abeille mellifère. Apidologie 18(4): 321–326.</x:v>
      </x:c>
      <x:c r="J20" s="508" t="str">
        <x:v>De Ruijter, A (1987). Reproduction de Varroa jacobsoni au cours de cycles successifs de couvain de l’abeille mellifère. Apidologie 18(4): 321–326.</x:v>
      </x:c>
      <x:c r="K20" s="508" t="str">
        <x:v>De Ruijter, A (1987). Reproduction de Varroa jacobsoni au cours de cycles successifs de couvain de l’abeille mellifère. Apidologie 18(4): 321–326.</x:v>
      </x:c>
      <x:c r="L20" s="508" t="str">
        <x:v>De Ruijter, A (1987). Reproduction de Varroa jacobsoni au cours de cycles successifs de couvain de l’abeille mellifère. Apidologie 18(4): 321–326.</x:v>
      </x:c>
      <x:c r="M20" s="508" t="str">
        <x:v>De Ruijter, A (1987). Reproduction de Varroa jacobsoni au cours de cycles successifs de couvain de l’abeille mellifère. Apidologie 18(4): 321–326.</x:v>
      </x:c>
    </x:row>
    <x:row r="21" ht="71.19999694824219" customHeight="1">
      <x:c r="A21" s="498"/>
      <x:c r="B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C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D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E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F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G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H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I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J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K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L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c r="M21" s="508" t="str">
        <x:v>J’ignore volontairement l’émigration des varroas, car elle serait à peu près proportionnelle, une part importante des jeunes ouvrières ne revenant jamais de leur premier vol. Voir Thompson (2015), Thiaméthoxame : évaluation de l’activité de vol d’abeilles butinant du colza traité à l’aide de la technologie d’identification par radiofréquence. Environmental Toxicology and Chemistry.</x:v>
      </x:c>
    </x:row>
    <x:row r="22" ht="18" customHeight="1">
      <x:c r="A22" s="498"/>
      <x:c r="B22" s="498"/>
      <x:c r="C22" s="498"/>
      <x:c r="D22" s="498"/>
      <x:c r="E22" s="498"/>
      <x:c r="F22" s="498"/>
      <x:c r="G22" s="498"/>
      <x:c r="H22" s="498"/>
      <x:c r="I22" s="498"/>
      <x:c r="J22" s="498"/>
      <x:c r="K22" s="498"/>
      <x:c r="L22" s="498"/>
      <x:c r="M22" s="498"/>
    </x:row>
    <x:row r="23" ht="18" customHeight="1">
      <x:c r="A23" s="498"/>
      <x:c r="B23" s="529" t="str">
        <x:v>Explication de Randy Oliver · C1</x:v>
      </x:c>
      <x:c r="C23" s="529" t="str">
        <x:v>Explication de Randy Oliver · C1</x:v>
      </x:c>
      <x:c r="D23" s="529" t="str">
        <x:v>Explication de Randy Oliver · C1</x:v>
      </x:c>
      <x:c r="E23" s="529" t="str">
        <x:v>Explication de Randy Oliver · C1</x:v>
      </x:c>
      <x:c r="F23" s="529" t="str">
        <x:v>Explication de Randy Oliver · C1</x:v>
      </x:c>
      <x:c r="G23" s="529" t="str">
        <x:v>Explication de Randy Oliver · C1</x:v>
      </x:c>
      <x:c r="H23" s="529" t="str">
        <x:v>Explication de Randy Oliver · C1</x:v>
      </x:c>
      <x:c r="I23" s="529" t="str">
        <x:v>Explication de Randy Oliver · C1</x:v>
      </x:c>
      <x:c r="J23" s="529" t="str">
        <x:v>Explication de Randy Oliver · C1</x:v>
      </x:c>
      <x:c r="K23" s="529" t="str">
        <x:v>Explication de Randy Oliver · C1</x:v>
      </x:c>
      <x:c r="L23" s="529" t="str">
        <x:v>Explication de Randy Oliver · C1</x:v>
      </x:c>
      <x:c r="M23" s="529" t="str">
        <x:v>Explication de Randy Oliver · C1</x:v>
      </x:c>
    </x:row>
    <x:row r="24" ht="115.5999984741211" customHeight="1">
      <x:c r="A24" s="498"/>
      <x:c r="B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C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D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E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F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G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H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I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J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K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L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c r="M24" s="508" t="str">
        <x:v>Modèle Varroa de Randy v2024a. Fonctionne de préférence dans Excel. Réglez le zoom (en bas à droite) sur 90 %, puis passez en « Plein écran ». Saisissez les valeurs initiales dans les cellules vertes du profil de colonie et des arrivées de varroas (décrits dans leurs onglets respectifs), puis ajustez votre population initiale de varroas pour faire correspondre le résultat au comptage mesuré par lavage à l’alcool. Pour planifier votre stratégie de gestion des varroas, saisissez ensuite, aux dates correspondantes, les réductions dues aux traitements dans les cellules jaunes disposées horizontalement. Pour les utilisateurs avancés, les précisions sur la personnalisation se trouvent dans la cellule AG35.</x:v>
      </x:c>
    </x:row>
    <x:row r="25" ht="18" customHeight="1">
      <x:c r="A25" s="498"/>
      <x:c r="B25" s="498"/>
      <x:c r="C25" s="498"/>
      <x:c r="D25" s="498"/>
      <x:c r="E25" s="498"/>
      <x:c r="F25" s="498"/>
      <x:c r="G25" s="498"/>
      <x:c r="H25" s="498"/>
      <x:c r="I25" s="498"/>
      <x:c r="J25" s="498"/>
      <x:c r="K25" s="498"/>
      <x:c r="L25" s="498"/>
      <x:c r="M25" s="498"/>
    </x:row>
    <x:row r="26" ht="18" customHeight="1">
      <x:c r="A26" s="498"/>
      <x:c r="B26" s="529" t="str">
        <x:v>Explication de Randy Oliver · C26</x:v>
      </x:c>
      <x:c r="C26" s="529" t="str">
        <x:v>Explication de Randy Oliver · C26</x:v>
      </x:c>
      <x:c r="D26" s="529" t="str">
        <x:v>Explication de Randy Oliver · C26</x:v>
      </x:c>
      <x:c r="E26" s="529" t="str">
        <x:v>Explication de Randy Oliver · C26</x:v>
      </x:c>
      <x:c r="F26" s="529" t="str">
        <x:v>Explication de Randy Oliver · C26</x:v>
      </x:c>
      <x:c r="G26" s="529" t="str">
        <x:v>Explication de Randy Oliver · C26</x:v>
      </x:c>
      <x:c r="H26" s="529" t="str">
        <x:v>Explication de Randy Oliver · C26</x:v>
      </x:c>
      <x:c r="I26" s="529" t="str">
        <x:v>Explication de Randy Oliver · C26</x:v>
      </x:c>
      <x:c r="J26" s="529" t="str">
        <x:v>Explication de Randy Oliver · C26</x:v>
      </x:c>
      <x:c r="K26" s="529" t="str">
        <x:v>Explication de Randy Oliver · C26</x:v>
      </x:c>
      <x:c r="L26" s="529" t="str">
        <x:v>Explication de Randy Oliver · C26</x:v>
      </x:c>
      <x:c r="M26" s="529" t="str">
        <x:v>Explication de Randy Oliver · C26</x:v>
      </x:c>
    </x:row>
    <x:row r="27" ht="115.5999984741211" customHeight="1">
      <x:c r="A27" s="498"/>
      <x:c r="B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C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D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E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F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G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H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I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J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K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L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c r="M27" s="508" t="str">
        <x:v>IMPORTANT : le comptage par lavage à l’alcool reflète la proportion de varroas présents sur les abeilles adultes. En début de saison, il sous-estime donc l’augmentation de la population réelle de varroas, car la plupart se trouvent dans le couvain (voir « % de varroas dans le couvain » ci-dessus). Lorsque la colonie réduit son nid à couvain en automne, l’infestation semble exploser. ATTENTION : les simulations reflètent les valeurs médianes attendues ; les comptages réels varient généralement beaucoup d’une ruche à l’autre ! Lorsque le comptage par lavage à l’alcool dépasse 15 varroas, les performances de la colonie diminuent habituellement.</x:v>
      </x:c>
    </x:row>
    <x:row r="28" ht="56.400001525878906" customHeight="1">
      <x:c r="A28" s="498"/>
      <x:c r="B28" s="508" t="str">
        <x:v>L’effondrement est indiqué lorsque la charge en varroas et en virus dépasse les capacités de la colonie. Il est plus facile et préférable de maintenir préventivement une faible infestation que de chercher à la réduire plus tard !</x:v>
      </x:c>
      <x:c r="C28" s="508" t="str">
        <x:v>L’effondrement est indiqué lorsque la charge en varroas et en virus dépasse les capacités de la colonie. Il est plus facile et préférable de maintenir préventivement une faible infestation que de chercher à la réduire plus tard !</x:v>
      </x:c>
      <x:c r="D28" s="508" t="str">
        <x:v>L’effondrement est indiqué lorsque la charge en varroas et en virus dépasse les capacités de la colonie. Il est plus facile et préférable de maintenir préventivement une faible infestation que de chercher à la réduire plus tard !</x:v>
      </x:c>
      <x:c r="E28" s="508" t="str">
        <x:v>L’effondrement est indiqué lorsque la charge en varroas et en virus dépasse les capacités de la colonie. Il est plus facile et préférable de maintenir préventivement une faible infestation que de chercher à la réduire plus tard !</x:v>
      </x:c>
      <x:c r="F28" s="508" t="str">
        <x:v>L’effondrement est indiqué lorsque la charge en varroas et en virus dépasse les capacités de la colonie. Il est plus facile et préférable de maintenir préventivement une faible infestation que de chercher à la réduire plus tard !</x:v>
      </x:c>
      <x:c r="G28" s="508" t="str">
        <x:v>L’effondrement est indiqué lorsque la charge en varroas et en virus dépasse les capacités de la colonie. Il est plus facile et préférable de maintenir préventivement une faible infestation que de chercher à la réduire plus tard !</x:v>
      </x:c>
      <x:c r="H28" s="508" t="str">
        <x:v>L’effondrement est indiqué lorsque la charge en varroas et en virus dépasse les capacités de la colonie. Il est plus facile et préférable de maintenir préventivement une faible infestation que de chercher à la réduire plus tard !</x:v>
      </x:c>
      <x:c r="I28" s="508" t="str">
        <x:v>L’effondrement est indiqué lorsque la charge en varroas et en virus dépasse les capacités de la colonie. Il est plus facile et préférable de maintenir préventivement une faible infestation que de chercher à la réduire plus tard !</x:v>
      </x:c>
      <x:c r="J28" s="508" t="str">
        <x:v>L’effondrement est indiqué lorsque la charge en varroas et en virus dépasse les capacités de la colonie. Il est plus facile et préférable de maintenir préventivement une faible infestation que de chercher à la réduire plus tard !</x:v>
      </x:c>
      <x:c r="K28" s="508" t="str">
        <x:v>L’effondrement est indiqué lorsque la charge en varroas et en virus dépasse les capacités de la colonie. Il est plus facile et préférable de maintenir préventivement une faible infestation que de chercher à la réduire plus tard !</x:v>
      </x:c>
      <x:c r="L28" s="508" t="str">
        <x:v>L’effondrement est indiqué lorsque la charge en varroas et en virus dépasse les capacités de la colonie. Il est plus facile et préférable de maintenir préventivement une faible infestation que de chercher à la réduire plus tard !</x:v>
      </x:c>
      <x:c r="M28" s="508" t="str">
        <x:v>L’effondrement est indiqué lorsque la charge en varroas et en virus dépasse les capacités de la colonie. Il est plus facile et préférable de maintenir préventivement une faible infestation que de chercher à la réduire plus tard !</x:v>
      </x:c>
    </x:row>
    <x:row r="29" ht="18" customHeight="1">
      <x:c r="A29" s="498"/>
      <x:c r="B29" s="498"/>
      <x:c r="C29" s="498"/>
      <x:c r="D29" s="498"/>
      <x:c r="E29" s="498"/>
      <x:c r="F29" s="498"/>
      <x:c r="G29" s="498"/>
      <x:c r="H29" s="498"/>
      <x:c r="I29" s="498"/>
      <x:c r="J29" s="498"/>
      <x:c r="K29" s="498"/>
      <x:c r="L29" s="498"/>
      <x:c r="M29" s="498"/>
    </x:row>
    <x:row r="30" ht="18" customHeight="1">
      <x:c r="A30" s="498"/>
      <x:c r="B30" s="529" t="str">
        <x:v>Explication de Randy Oliver · P30</x:v>
      </x:c>
      <x:c r="C30" s="529" t="str">
        <x:v>Explication de Randy Oliver · P30</x:v>
      </x:c>
      <x:c r="D30" s="529" t="str">
        <x:v>Explication de Randy Oliver · P30</x:v>
      </x:c>
      <x:c r="E30" s="529" t="str">
        <x:v>Explication de Randy Oliver · P30</x:v>
      </x:c>
      <x:c r="F30" s="529" t="str">
        <x:v>Explication de Randy Oliver · P30</x:v>
      </x:c>
      <x:c r="G30" s="529" t="str">
        <x:v>Explication de Randy Oliver · P30</x:v>
      </x:c>
      <x:c r="H30" s="529" t="str">
        <x:v>Explication de Randy Oliver · P30</x:v>
      </x:c>
      <x:c r="I30" s="529" t="str">
        <x:v>Explication de Randy Oliver · P30</x:v>
      </x:c>
      <x:c r="J30" s="529" t="str">
        <x:v>Explication de Randy Oliver · P30</x:v>
      </x:c>
      <x:c r="K30" s="529" t="str">
        <x:v>Explication de Randy Oliver · P30</x:v>
      </x:c>
      <x:c r="L30" s="529" t="str">
        <x:v>Explication de Randy Oliver · P30</x:v>
      </x:c>
      <x:c r="M30" s="529" t="str">
        <x:v>Explication de Randy Oliver · P30</x:v>
      </x:c>
    </x:row>
    <x:row r="31" ht="71.19999694824219" customHeight="1">
      <x:c r="A31" s="498"/>
      <x:c r="B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C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D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E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F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G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H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I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J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K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L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c r="M31" s="508" t="str">
        <x:v>Réductions attendues des varroas selon le type de traitement : toujours effectuer un comptage par lavage 12 jours après le traitement (après l’émergence des varroas hors du couvain) pour en confirmer l’efficacité ! Si le comptage dépasse 30, la colonie peut mettre longtemps à se remettre de l’épidémie de virus des ailes déformées (DWV) dans la ruche, même après un traitement efficace.</x:v>
      </x:c>
    </x:row>
    <x:row r="32" ht="18" customHeight="1">
      <x:c r="A32" s="498"/>
      <x:c r="B32" s="498"/>
      <x:c r="C32" s="498"/>
      <x:c r="D32" s="498"/>
      <x:c r="E32" s="498"/>
      <x:c r="F32" s="498"/>
      <x:c r="G32" s="498"/>
      <x:c r="H32" s="498"/>
      <x:c r="I32" s="498"/>
      <x:c r="J32" s="498"/>
      <x:c r="K32" s="498"/>
      <x:c r="L32" s="498"/>
      <x:c r="M32" s="498"/>
    </x:row>
    <x:row r="33" ht="18" customHeight="1">
      <x:c r="A33" s="498"/>
      <x:c r="B33" s="529" t="str">
        <x:v>Explication de Randy Oliver · AE3</x:v>
      </x:c>
      <x:c r="C33" s="529" t="str">
        <x:v>Explication de Randy Oliver · AE3</x:v>
      </x:c>
      <x:c r="D33" s="529" t="str">
        <x:v>Explication de Randy Oliver · AE3</x:v>
      </x:c>
      <x:c r="E33" s="529" t="str">
        <x:v>Explication de Randy Oliver · AE3</x:v>
      </x:c>
      <x:c r="F33" s="529" t="str">
        <x:v>Explication de Randy Oliver · AE3</x:v>
      </x:c>
      <x:c r="G33" s="529" t="str">
        <x:v>Explication de Randy Oliver · AE3</x:v>
      </x:c>
      <x:c r="H33" s="529" t="str">
        <x:v>Explication de Randy Oliver · AE3</x:v>
      </x:c>
      <x:c r="I33" s="529" t="str">
        <x:v>Explication de Randy Oliver · AE3</x:v>
      </x:c>
      <x:c r="J33" s="529" t="str">
        <x:v>Explication de Randy Oliver · AE3</x:v>
      </x:c>
      <x:c r="K33" s="529" t="str">
        <x:v>Explication de Randy Oliver · AE3</x:v>
      </x:c>
      <x:c r="L33" s="529" t="str">
        <x:v>Explication de Randy Oliver · AE3</x:v>
      </x:c>
      <x:c r="M33" s="529" t="str">
        <x:v>Explication de Randy Oliver · AE3</x:v>
      </x:c>
    </x:row>
    <x:row r="34" ht="100.80000305175781" customHeight="1">
      <x:c r="A34" s="498"/>
      <x:c r="B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C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D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E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F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G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H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I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J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K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L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M34"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row>
    <x:row r="35" ht="41.599998474121094" customHeight="1">
      <x:c r="A35" s="498"/>
      <x:c r="B35" s="508" t="str">
        <x:v>Ce modèle a été confirmé par les données de comptage par lavage à l’alcool de ma propre exploitation commerciale, ainsi que par les retours d’apiculteurs du monde entier.</x:v>
      </x:c>
      <x:c r="C35" s="508" t="str">
        <x:v>Ce modèle a été confirmé par les données de comptage par lavage à l’alcool de ma propre exploitation commerciale, ainsi que par les retours d’apiculteurs du monde entier.</x:v>
      </x:c>
      <x:c r="D35" s="508" t="str">
        <x:v>Ce modèle a été confirmé par les données de comptage par lavage à l’alcool de ma propre exploitation commerciale, ainsi que par les retours d’apiculteurs du monde entier.</x:v>
      </x:c>
      <x:c r="E35" s="508" t="str">
        <x:v>Ce modèle a été confirmé par les données de comptage par lavage à l’alcool de ma propre exploitation commerciale, ainsi que par les retours d’apiculteurs du monde entier.</x:v>
      </x:c>
      <x:c r="F35" s="508" t="str">
        <x:v>Ce modèle a été confirmé par les données de comptage par lavage à l’alcool de ma propre exploitation commerciale, ainsi que par les retours d’apiculteurs du monde entier.</x:v>
      </x:c>
      <x:c r="G35" s="508" t="str">
        <x:v>Ce modèle a été confirmé par les données de comptage par lavage à l’alcool de ma propre exploitation commerciale, ainsi que par les retours d’apiculteurs du monde entier.</x:v>
      </x:c>
      <x:c r="H35" s="508" t="str">
        <x:v>Ce modèle a été confirmé par les données de comptage par lavage à l’alcool de ma propre exploitation commerciale, ainsi que par les retours d’apiculteurs du monde entier.</x:v>
      </x:c>
      <x:c r="I35" s="508" t="str">
        <x:v>Ce modèle a été confirmé par les données de comptage par lavage à l’alcool de ma propre exploitation commerciale, ainsi que par les retours d’apiculteurs du monde entier.</x:v>
      </x:c>
      <x:c r="J35" s="508" t="str">
        <x:v>Ce modèle a été confirmé par les données de comptage par lavage à l’alcool de ma propre exploitation commerciale, ainsi que par les retours d’apiculteurs du monde entier.</x:v>
      </x:c>
      <x:c r="K35" s="508" t="str">
        <x:v>Ce modèle a été confirmé par les données de comptage par lavage à l’alcool de ma propre exploitation commerciale, ainsi que par les retours d’apiculteurs du monde entier.</x:v>
      </x:c>
      <x:c r="L35" s="508" t="str">
        <x:v>Ce modèle a été confirmé par les données de comptage par lavage à l’alcool de ma propre exploitation commerciale, ainsi que par les retours d’apiculteurs du monde entier.</x:v>
      </x:c>
      <x:c r="M35" s="508" t="str">
        <x:v>Ce modèle a été confirmé par les données de comptage par lavage à l’alcool de ma propre exploitation commerciale, ainsi que par les retours d’apiculteurs du monde entier.</x:v>
      </x:c>
    </x:row>
    <x:row r="36" ht="71.19999694824219" customHeight="1">
      <x:c r="A36" s="498"/>
      <x:c r="B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C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D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E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F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G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H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I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J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K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L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c r="M36" s="508" t="str">
        <x:v>J’ai créé ce modèle pour qu’il soit facile à utiliser par les apiculteurs, tout en étant utile aux biologistes de l’abeille. Ce modèle simple effectue environ 1500 calculs chaque fois que vous saisissez une valeur et il est entièrement personnalisable. Je le révise et le mets à jour continuellement ; utilisez donc toujours la version la plus récente.</x:v>
      </x:c>
    </x:row>
    <x:row r="37" ht="31" customHeight="1">
      <x:c r="A37" s="498"/>
      <x:c r="B37" s="508" t="str">
        <x:v>Hypothèses de base, ajustements et calculs des taux logarithmiques quotidiens r</x:v>
      </x:c>
      <x:c r="C37" s="508" t="str">
        <x:v>Hypothèses de base, ajustements et calculs des taux logarithmiques quotidiens r</x:v>
      </x:c>
      <x:c r="D37" s="508" t="str">
        <x:v>Hypothèses de base, ajustements et calculs des taux logarithmiques quotidiens r</x:v>
      </x:c>
      <x:c r="E37" s="508" t="str">
        <x:v>Hypothèses de base, ajustements et calculs des taux logarithmiques quotidiens r</x:v>
      </x:c>
      <x:c r="F37" s="508" t="str">
        <x:v>Hypothèses de base, ajustements et calculs des taux logarithmiques quotidiens r</x:v>
      </x:c>
      <x:c r="G37" s="508" t="str">
        <x:v>Hypothèses de base, ajustements et calculs des taux logarithmiques quotidiens r</x:v>
      </x:c>
      <x:c r="H37" s="508" t="str">
        <x:v>Hypothèses de base, ajustements et calculs des taux logarithmiques quotidiens r</x:v>
      </x:c>
      <x:c r="I37" s="508" t="str">
        <x:v>Hypothèses de base, ajustements et calculs des taux logarithmiques quotidiens r</x:v>
      </x:c>
      <x:c r="J37" s="508" t="str">
        <x:v>Hypothèses de base, ajustements et calculs des taux logarithmiques quotidiens r</x:v>
      </x:c>
      <x:c r="K37" s="508" t="str">
        <x:v>Hypothèses de base, ajustements et calculs des taux logarithmiques quotidiens r</x:v>
      </x:c>
      <x:c r="L37" s="508" t="str">
        <x:v>Hypothèses de base, ajustements et calculs des taux logarithmiques quotidiens r</x:v>
      </x:c>
      <x:c r="M37" s="508" t="str">
        <x:v>Hypothèses de base, ajustements et calculs des taux logarithmiques quotidiens r</x:v>
      </x:c>
    </x:row>
    <x:row r="38" ht="115.5999984741211" customHeight="1">
      <x:c r="A38" s="498"/>
      <x:c r="B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C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D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E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F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G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H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I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J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K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L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M38"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row>
    <x:row r="39" ht="115.5999984741211" customHeight="1">
      <x:c r="A39" s="498"/>
      <x:c r="B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C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D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E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F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G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H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I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J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K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L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M39"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row>
    <x:row r="40" ht="71.19999694824219" customHeight="1">
      <x:c r="A40" s="498"/>
      <x:c r="B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C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D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E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F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G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H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I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J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K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L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M40"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row>
    <x:row r="41" ht="56.400001525878906" customHeight="1">
      <x:c r="A41" s="498"/>
      <x:c r="B41" s="508" t="str">
        <x:v>Je mets ce modèle à la disposition de la communauté apicole et scientifique et accueille volontiers les suggestions d’amélioration. Le mot de passe est sb, mais veillez à enregistrer une copie avant de le modifier !</x:v>
      </x:c>
      <x:c r="C41" s="508" t="str">
        <x:v>Je mets ce modèle à la disposition de la communauté apicole et scientifique et accueille volontiers les suggestions d’amélioration. Le mot de passe est sb, mais veillez à enregistrer une copie avant de le modifier !</x:v>
      </x:c>
      <x:c r="D41" s="508" t="str">
        <x:v>Je mets ce modèle à la disposition de la communauté apicole et scientifique et accueille volontiers les suggestions d’amélioration. Le mot de passe est sb, mais veillez à enregistrer une copie avant de le modifier !</x:v>
      </x:c>
      <x:c r="E41" s="508" t="str">
        <x:v>Je mets ce modèle à la disposition de la communauté apicole et scientifique et accueille volontiers les suggestions d’amélioration. Le mot de passe est sb, mais veillez à enregistrer une copie avant de le modifier !</x:v>
      </x:c>
      <x:c r="F41" s="508" t="str">
        <x:v>Je mets ce modèle à la disposition de la communauté apicole et scientifique et accueille volontiers les suggestions d’amélioration. Le mot de passe est sb, mais veillez à enregistrer une copie avant de le modifier !</x:v>
      </x:c>
      <x:c r="G41" s="508" t="str">
        <x:v>Je mets ce modèle à la disposition de la communauté apicole et scientifique et accueille volontiers les suggestions d’amélioration. Le mot de passe est sb, mais veillez à enregistrer une copie avant de le modifier !</x:v>
      </x:c>
      <x:c r="H41" s="508" t="str">
        <x:v>Je mets ce modèle à la disposition de la communauté apicole et scientifique et accueille volontiers les suggestions d’amélioration. Le mot de passe est sb, mais veillez à enregistrer une copie avant de le modifier !</x:v>
      </x:c>
      <x:c r="I41" s="508" t="str">
        <x:v>Je mets ce modèle à la disposition de la communauté apicole et scientifique et accueille volontiers les suggestions d’amélioration. Le mot de passe est sb, mais veillez à enregistrer une copie avant de le modifier !</x:v>
      </x:c>
      <x:c r="J41" s="508" t="str">
        <x:v>Je mets ce modèle à la disposition de la communauté apicole et scientifique et accueille volontiers les suggestions d’amélioration. Le mot de passe est sb, mais veillez à enregistrer une copie avant de le modifier !</x:v>
      </x:c>
      <x:c r="K41" s="508" t="str">
        <x:v>Je mets ce modèle à la disposition de la communauté apicole et scientifique et accueille volontiers les suggestions d’amélioration. Le mot de passe est sb, mais veillez à enregistrer une copie avant de le modifier !</x:v>
      </x:c>
      <x:c r="L41" s="508" t="str">
        <x:v>Je mets ce modèle à la disposition de la communauté apicole et scientifique et accueille volontiers les suggestions d’amélioration. Le mot de passe est sb, mais veillez à enregistrer une copie avant de le modifier !</x:v>
      </x:c>
      <x:c r="M41" s="508" t="str">
        <x:v>Je mets ce modèle à la disposition de la communauté apicole et scientifique et accueille volontiers les suggestions d’amélioration. Le mot de passe est sb, mais veillez à enregistrer une copie avant de le modifier !</x:v>
      </x:c>
    </x:row>
    <x:row r="42" ht="31" customHeight="1">
      <x:c r="A42" s="498"/>
      <x:c r="B42" s="508" t="str">
        <x:v>Randy Oliver</x:v>
      </x:c>
      <x:c r="C42" s="508" t="str">
        <x:v>Randy Oliver</x:v>
      </x:c>
      <x:c r="D42" s="508" t="str">
        <x:v>Randy Oliver</x:v>
      </x:c>
      <x:c r="E42" s="508" t="str">
        <x:v>Randy Oliver</x:v>
      </x:c>
      <x:c r="F42" s="508" t="str">
        <x:v>Randy Oliver</x:v>
      </x:c>
      <x:c r="G42" s="508" t="str">
        <x:v>Randy Oliver</x:v>
      </x:c>
      <x:c r="H42" s="508" t="str">
        <x:v>Randy Oliver</x:v>
      </x:c>
      <x:c r="I42" s="508" t="str">
        <x:v>Randy Oliver</x:v>
      </x:c>
      <x:c r="J42" s="508" t="str">
        <x:v>Randy Oliver</x:v>
      </x:c>
      <x:c r="K42" s="508" t="str">
        <x:v>Randy Oliver</x:v>
      </x:c>
      <x:c r="L42" s="508" t="str">
        <x:v>Randy Oliver</x:v>
      </x:c>
      <x:c r="M42" s="508" t="str">
        <x:v>Randy Oliver</x:v>
      </x:c>
    </x:row>
    <x:row r="43" ht="18" customHeight="1">
      <x:c r="A43" s="498"/>
      <x:c r="B43" s="498"/>
      <x:c r="C43" s="498"/>
      <x:c r="D43" s="498"/>
      <x:c r="E43" s="498"/>
      <x:c r="F43" s="498"/>
      <x:c r="G43" s="498"/>
      <x:c r="H43" s="498"/>
      <x:c r="I43" s="498"/>
      <x:c r="J43" s="498"/>
      <x:c r="K43" s="498"/>
      <x:c r="L43" s="498"/>
      <x:c r="M43" s="498"/>
    </x:row>
    <x:row r="44" ht="18" customHeight="1">
      <x:c r="A44" s="498"/>
      <x:c r="B44" s="529" t="str">
        <x:v>Explication de Randy Oliver · J4</x:v>
      </x:c>
      <x:c r="C44" s="529" t="str">
        <x:v>Explication de Randy Oliver · J4</x:v>
      </x:c>
      <x:c r="D44" s="529" t="str">
        <x:v>Explication de Randy Oliver · J4</x:v>
      </x:c>
      <x:c r="E44" s="529" t="str">
        <x:v>Explication de Randy Oliver · J4</x:v>
      </x:c>
      <x:c r="F44" s="529" t="str">
        <x:v>Explication de Randy Oliver · J4</x:v>
      </x:c>
      <x:c r="G44" s="529" t="str">
        <x:v>Explication de Randy Oliver · J4</x:v>
      </x:c>
      <x:c r="H44" s="529" t="str">
        <x:v>Explication de Randy Oliver · J4</x:v>
      </x:c>
      <x:c r="I44" s="529" t="str">
        <x:v>Explication de Randy Oliver · J4</x:v>
      </x:c>
      <x:c r="J44" s="529" t="str">
        <x:v>Explication de Randy Oliver · J4</x:v>
      </x:c>
      <x:c r="K44" s="529" t="str">
        <x:v>Explication de Randy Oliver · J4</x:v>
      </x:c>
      <x:c r="L44" s="529" t="str">
        <x:v>Explication de Randy Oliver · J4</x:v>
      </x:c>
      <x:c r="M44" s="529" t="str">
        <x:v>Explication de Randy Oliver · J4</x:v>
      </x:c>
    </x:row>
    <x:row r="45" ht="41.599998474121094" customHeight="1">
      <x:c r="A45" s="498"/>
      <x:c r="B45" s="508" t="str">
        <x:v>Version 2025A. Ce modèle est en cours d’élaboration : veillez à utiliser la version la plus récente ! © ScientificBeekeeping</x:v>
      </x:c>
      <x:c r="C45" s="508" t="str">
        <x:v>Version 2025A. Ce modèle est en cours d’élaboration : veillez à utiliser la version la plus récente ! © ScientificBeekeeping</x:v>
      </x:c>
      <x:c r="D45" s="508" t="str">
        <x:v>Version 2025A. Ce modèle est en cours d’élaboration : veillez à utiliser la version la plus récente ! © ScientificBeekeeping</x:v>
      </x:c>
      <x:c r="E45" s="508" t="str">
        <x:v>Version 2025A. Ce modèle est en cours d’élaboration : veillez à utiliser la version la plus récente ! © ScientificBeekeeping</x:v>
      </x:c>
      <x:c r="F45" s="508" t="str">
        <x:v>Version 2025A. Ce modèle est en cours d’élaboration : veillez à utiliser la version la plus récente ! © ScientificBeekeeping</x:v>
      </x:c>
      <x:c r="G45" s="508" t="str">
        <x:v>Version 2025A. Ce modèle est en cours d’élaboration : veillez à utiliser la version la plus récente ! © ScientificBeekeeping</x:v>
      </x:c>
      <x:c r="H45" s="508" t="str">
        <x:v>Version 2025A. Ce modèle est en cours d’élaboration : veillez à utiliser la version la plus récente ! © ScientificBeekeeping</x:v>
      </x:c>
      <x:c r="I45" s="508" t="str">
        <x:v>Version 2025A. Ce modèle est en cours d’élaboration : veillez à utiliser la version la plus récente ! © ScientificBeekeeping</x:v>
      </x:c>
      <x:c r="J45" s="508" t="str">
        <x:v>Version 2025A. Ce modèle est en cours d’élaboration : veillez à utiliser la version la plus récente ! © ScientificBeekeeping</x:v>
      </x:c>
      <x:c r="K45" s="508" t="str">
        <x:v>Version 2025A. Ce modèle est en cours d’élaboration : veillez à utiliser la version la plus récente ! © ScientificBeekeeping</x:v>
      </x:c>
      <x:c r="L45" s="508" t="str">
        <x:v>Version 2025A. Ce modèle est en cours d’élaboration : veillez à utiliser la version la plus récente ! © ScientificBeekeeping</x:v>
      </x:c>
      <x:c r="M45" s="508" t="str">
        <x:v>Version 2025A. Ce modèle est en cours d’élaboration : veillez à utiliser la version la plus récente ! © ScientificBeekeeping</x:v>
      </x:c>
    </x:row>
    <x:row r="46" ht="18" customHeight="1">
      <x:c r="A46" s="498"/>
      <x:c r="B46" s="498"/>
      <x:c r="C46" s="498"/>
      <x:c r="D46" s="498"/>
      <x:c r="E46" s="498"/>
      <x:c r="F46" s="498"/>
      <x:c r="G46" s="498"/>
      <x:c r="H46" s="498"/>
      <x:c r="I46" s="498"/>
      <x:c r="J46" s="498"/>
      <x:c r="K46" s="498"/>
      <x:c r="L46" s="498"/>
      <x:c r="M46" s="498"/>
    </x:row>
    <x:row r="47" ht="18" customHeight="1">
      <x:c r="A47" s="498"/>
      <x:c r="B47" s="529" t="str">
        <x:v>Explication de Randy Oliver · O36</x:v>
      </x:c>
      <x:c r="C47" s="529" t="str">
        <x:v>Explication de Randy Oliver · O36</x:v>
      </x:c>
      <x:c r="D47" s="529" t="str">
        <x:v>Explication de Randy Oliver · O36</x:v>
      </x:c>
      <x:c r="E47" s="529" t="str">
        <x:v>Explication de Randy Oliver · O36</x:v>
      </x:c>
      <x:c r="F47" s="529" t="str">
        <x:v>Explication de Randy Oliver · O36</x:v>
      </x:c>
      <x:c r="G47" s="529" t="str">
        <x:v>Explication de Randy Oliver · O36</x:v>
      </x:c>
      <x:c r="H47" s="529" t="str">
        <x:v>Explication de Randy Oliver · O36</x:v>
      </x:c>
      <x:c r="I47" s="529" t="str">
        <x:v>Explication de Randy Oliver · O36</x:v>
      </x:c>
      <x:c r="J47" s="529" t="str">
        <x:v>Explication de Randy Oliver · O36</x:v>
      </x:c>
      <x:c r="K47" s="529" t="str">
        <x:v>Explication de Randy Oliver · O36</x:v>
      </x:c>
      <x:c r="L47" s="529" t="str">
        <x:v>Explication de Randy Oliver · O36</x:v>
      </x:c>
      <x:c r="M47" s="529" t="str">
        <x:v>Explication de Randy Oliver · O36</x:v>
      </x:c>
    </x:row>
    <x:row r="48" ht="31" customHeight="1">
      <x:c r="A48" s="498"/>
      <x:c r="B48" s="508" t="str">
        <x:v>Réductions attendues des varroas selon l’option de traitement :</x:v>
      </x:c>
      <x:c r="C48" s="508" t="str">
        <x:v>Réductions attendues des varroas selon l’option de traitement :</x:v>
      </x:c>
      <x:c r="D48" s="508" t="str">
        <x:v>Réductions attendues des varroas selon l’option de traitement :</x:v>
      </x:c>
      <x:c r="E48" s="508" t="str">
        <x:v>Réductions attendues des varroas selon l’option de traitement :</x:v>
      </x:c>
      <x:c r="F48" s="508" t="str">
        <x:v>Réductions attendues des varroas selon l’option de traitement :</x:v>
      </x:c>
      <x:c r="G48" s="508" t="str">
        <x:v>Réductions attendues des varroas selon l’option de traitement :</x:v>
      </x:c>
      <x:c r="H48" s="508" t="str">
        <x:v>Réductions attendues des varroas selon l’option de traitement :</x:v>
      </x:c>
      <x:c r="I48" s="508" t="str">
        <x:v>Réductions attendues des varroas selon l’option de traitement :</x:v>
      </x:c>
      <x:c r="J48" s="508" t="str">
        <x:v>Réductions attendues des varroas selon l’option de traitement :</x:v>
      </x:c>
      <x:c r="K48" s="508" t="str">
        <x:v>Réductions attendues des varroas selon l’option de traitement :</x:v>
      </x:c>
      <x:c r="L48" s="508" t="str">
        <x:v>Réductions attendues des varroas selon l’option de traitement :</x:v>
      </x:c>
      <x:c r="M48" s="508" t="str">
        <x:v>Réductions attendues des varroas selon l’option de traitement :</x:v>
      </x:c>
    </x:row>
    <x:row r="49" ht="41.599998474121094" customHeight="1">
      <x:c r="A49" s="498"/>
      <x:c r="B49" s="508" t="str">
        <x:v>95 % : acaricide de synthèse très efficace, tel que l’amitraz (Apivar), appliqué sur plusieurs semaines. Son action n’est pas rapide ; il vaut donc mieux l’appliquer de façon anticipée, tôt dans la saison.</x:v>
      </x:c>
      <x:c r="C49" s="508" t="str">
        <x:v>95 % : acaricide de synthèse très efficace, tel que l’amitraz (Apivar), appliqué sur plusieurs semaines. Son action n’est pas rapide ; il vaut donc mieux l’appliquer de façon anticipée, tôt dans la saison.</x:v>
      </x:c>
      <x:c r="D49" s="508" t="str">
        <x:v>95 % : acaricide de synthèse très efficace, tel que l’amitraz (Apivar), appliqué sur plusieurs semaines. Son action n’est pas rapide ; il vaut donc mieux l’appliquer de façon anticipée, tôt dans la saison.</x:v>
      </x:c>
      <x:c r="E49" s="508" t="str">
        <x:v>95 % : acaricide de synthèse très efficace, tel que l’amitraz (Apivar), appliqué sur plusieurs semaines. Son action n’est pas rapide ; il vaut donc mieux l’appliquer de façon anticipée, tôt dans la saison.</x:v>
      </x:c>
      <x:c r="F49" s="508" t="str">
        <x:v>95 % : acaricide de synthèse très efficace, tel que l’amitraz (Apivar), appliqué sur plusieurs semaines. Son action n’est pas rapide ; il vaut donc mieux l’appliquer de façon anticipée, tôt dans la saison.</x:v>
      </x:c>
      <x:c r="G49" s="508" t="str">
        <x:v>95 % : acaricide de synthèse très efficace, tel que l’amitraz (Apivar), appliqué sur plusieurs semaines. Son action n’est pas rapide ; il vaut donc mieux l’appliquer de façon anticipée, tôt dans la saison.</x:v>
      </x:c>
      <x:c r="H49" s="508" t="str">
        <x:v>95 % : acaricide de synthèse très efficace, tel que l’amitraz (Apivar), appliqué sur plusieurs semaines. Son action n’est pas rapide ; il vaut donc mieux l’appliquer de façon anticipée, tôt dans la saison.</x:v>
      </x:c>
      <x:c r="I49" s="508" t="str">
        <x:v>95 % : acaricide de synthèse très efficace, tel que l’amitraz (Apivar), appliqué sur plusieurs semaines. Son action n’est pas rapide ; il vaut donc mieux l’appliquer de façon anticipée, tôt dans la saison.</x:v>
      </x:c>
      <x:c r="J49" s="508" t="str">
        <x:v>95 % : acaricide de synthèse très efficace, tel que l’amitraz (Apivar), appliqué sur plusieurs semaines. Son action n’est pas rapide ; il vaut donc mieux l’appliquer de façon anticipée, tôt dans la saison.</x:v>
      </x:c>
      <x:c r="K49" s="508" t="str">
        <x:v>95 % : acaricide de synthèse très efficace, tel que l’amitraz (Apivar), appliqué sur plusieurs semaines. Son action n’est pas rapide ; il vaut donc mieux l’appliquer de façon anticipée, tôt dans la saison.</x:v>
      </x:c>
      <x:c r="L49" s="508" t="str">
        <x:v>95 % : acaricide de synthèse très efficace, tel que l’amitraz (Apivar), appliqué sur plusieurs semaines. Son action n’est pas rapide ; il vaut donc mieux l’appliquer de façon anticipée, tôt dans la saison.</x:v>
      </x:c>
      <x:c r="M49" s="508" t="str">
        <x:v>95 % : acaricide de synthèse très efficace, tel que l’amitraz (Apivar), appliqué sur plusieurs semaines. Son action n’est pas rapide ; il vaut donc mieux l’appliquer de façon anticipée, tôt dans la saison.</x:v>
      </x:c>
    </x:row>
    <x:row r="50" ht="41.599998474121094" customHeight="1">
      <x:c r="A50" s="498"/>
      <x:c r="B50" s="508" t="str">
        <x:v>90 % : deux traitements de 50 g d’Apiguard (ou trois d’Apilife Var), à 10 jours d’intervalle, dans une rehausse. À utiliser de préférence en août, car le thymol réduit l’élevage du couvain.</x:v>
      </x:c>
      <x:c r="C50" s="508" t="str">
        <x:v>90 % : deux traitements de 50 g d’Apiguard (ou trois d’Apilife Var), à 10 jours d’intervalle, dans une rehausse. À utiliser de préférence en août, car le thymol réduit l’élevage du couvain.</x:v>
      </x:c>
      <x:c r="D50" s="508" t="str">
        <x:v>90 % : deux traitements de 50 g d’Apiguard (ou trois d’Apilife Var), à 10 jours d’intervalle, dans une rehausse. À utiliser de préférence en août, car le thymol réduit l’élevage du couvain.</x:v>
      </x:c>
      <x:c r="E50" s="508" t="str">
        <x:v>90 % : deux traitements de 50 g d’Apiguard (ou trois d’Apilife Var), à 10 jours d’intervalle, dans une rehausse. À utiliser de préférence en août, car le thymol réduit l’élevage du couvain.</x:v>
      </x:c>
      <x:c r="F50" s="508" t="str">
        <x:v>90 % : deux traitements de 50 g d’Apiguard (ou trois d’Apilife Var), à 10 jours d’intervalle, dans une rehausse. À utiliser de préférence en août, car le thymol réduit l’élevage du couvain.</x:v>
      </x:c>
      <x:c r="G50" s="508" t="str">
        <x:v>90 % : deux traitements de 50 g d’Apiguard (ou trois d’Apilife Var), à 10 jours d’intervalle, dans une rehausse. À utiliser de préférence en août, car le thymol réduit l’élevage du couvain.</x:v>
      </x:c>
      <x:c r="H50" s="508" t="str">
        <x:v>90 % : deux traitements de 50 g d’Apiguard (ou trois d’Apilife Var), à 10 jours d’intervalle, dans une rehausse. À utiliser de préférence en août, car le thymol réduit l’élevage du couvain.</x:v>
      </x:c>
      <x:c r="I50" s="508" t="str">
        <x:v>90 % : deux traitements de 50 g d’Apiguard (ou trois d’Apilife Var), à 10 jours d’intervalle, dans une rehausse. À utiliser de préférence en août, car le thymol réduit l’élevage du couvain.</x:v>
      </x:c>
      <x:c r="J50" s="508" t="str">
        <x:v>90 % : deux traitements de 50 g d’Apiguard (ou trois d’Apilife Var), à 10 jours d’intervalle, dans une rehausse. À utiliser de préférence en août, car le thymol réduit l’élevage du couvain.</x:v>
      </x:c>
      <x:c r="K50" s="508" t="str">
        <x:v>90 % : deux traitements de 50 g d’Apiguard (ou trois d’Apilife Var), à 10 jours d’intervalle, dans une rehausse. À utiliser de préférence en août, car le thymol réduit l’élevage du couvain.</x:v>
      </x:c>
      <x:c r="L50" s="508" t="str">
        <x:v>90 % : deux traitements de 50 g d’Apiguard (ou trois d’Apilife Var), à 10 jours d’intervalle, dans une rehausse. À utiliser de préférence en août, car le thymol réduit l’élevage du couvain.</x:v>
      </x:c>
      <x:c r="M50" s="508" t="str">
        <x:v>90 % : deux traitements de 50 g d’Apiguard (ou trois d’Apilife Var), à 10 jours d’intervalle, dans une rehausse. À utiliser de préférence en août, car le thymol réduit l’élevage du couvain.</x:v>
      </x:c>
    </x:row>
    <x:row r="51" ht="56.400001525878906" customHeight="1">
      <x:c r="A51" s="498"/>
      <x:c r="B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C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D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E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F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G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H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I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J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K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L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M51" s="508" t="str">
        <x:v>70–90 % (parfois moins) : 2 bandes MAQS ou Formic Pro, ou un traitement fort à l’acide formique (libération progressive ou traitement flash puissant). Meilleur traitement pour faire chuter rapidement les varroas par temps chaud. Peut être utilisé pendant la miellée.</x:v>
      </x:c>
    </x:row>
    <x:row r="52" ht="41.599998474121094" customHeight="1">
      <x:c r="A52" s="498"/>
      <x:c r="B52" s="508" t="str">
        <x:v>50 % (environ) : 1 bande MAQS ou Formic Pro, ou un traitement unique de faible intensité à l’acide formique pour une réduction rapide. Cette réduction rapide permet de gagner du temps et ménage davantage la reine.</x:v>
      </x:c>
      <x:c r="C52" s="508" t="str">
        <x:v>50 % (environ) : 1 bande MAQS ou Formic Pro, ou un traitement unique de faible intensité à l’acide formique pour une réduction rapide. Cette réduction rapide permet de gagner du temps et ménage davantage la reine.</x:v>
      </x:c>
      <x:c r="D52" s="508" t="str">
        <x:v>50 % (environ) : 1 bande MAQS ou Formic Pro, ou un traitement unique de faible intensité à l’acide formique pour une réduction rapide. Cette réduction rapide permet de gagner du temps et ménage davantage la reine.</x:v>
      </x:c>
      <x:c r="E52" s="508" t="str">
        <x:v>50 % (environ) : 1 bande MAQS ou Formic Pro, ou un traitement unique de faible intensité à l’acide formique pour une réduction rapide. Cette réduction rapide permet de gagner du temps et ménage davantage la reine.</x:v>
      </x:c>
      <x:c r="F52" s="508" t="str">
        <x:v>50 % (environ) : 1 bande MAQS ou Formic Pro, ou un traitement unique de faible intensité à l’acide formique pour une réduction rapide. Cette réduction rapide permet de gagner du temps et ménage davantage la reine.</x:v>
      </x:c>
      <x:c r="G52" s="508" t="str">
        <x:v>50 % (environ) : 1 bande MAQS ou Formic Pro, ou un traitement unique de faible intensité à l’acide formique pour une réduction rapide. Cette réduction rapide permet de gagner du temps et ménage davantage la reine.</x:v>
      </x:c>
      <x:c r="H52" s="508" t="str">
        <x:v>50 % (environ) : 1 bande MAQS ou Formic Pro, ou un traitement unique de faible intensité à l’acide formique pour une réduction rapide. Cette réduction rapide permet de gagner du temps et ménage davantage la reine.</x:v>
      </x:c>
      <x:c r="I52" s="508" t="str">
        <x:v>50 % (environ) : 1 bande MAQS ou Formic Pro, ou un traitement unique de faible intensité à l’acide formique pour une réduction rapide. Cette réduction rapide permet de gagner du temps et ménage davantage la reine.</x:v>
      </x:c>
      <x:c r="J52" s="508" t="str">
        <x:v>50 % (environ) : 1 bande MAQS ou Formic Pro, ou un traitement unique de faible intensité à l’acide formique pour une réduction rapide. Cette réduction rapide permet de gagner du temps et ménage davantage la reine.</x:v>
      </x:c>
      <x:c r="K52" s="508" t="str">
        <x:v>50 % (environ) : 1 bande MAQS ou Formic Pro, ou un traitement unique de faible intensité à l’acide formique pour une réduction rapide. Cette réduction rapide permet de gagner du temps et ménage davantage la reine.</x:v>
      </x:c>
      <x:c r="L52" s="508" t="str">
        <x:v>50 % (environ) : 1 bande MAQS ou Formic Pro, ou un traitement unique de faible intensité à l’acide formique pour une réduction rapide. Cette réduction rapide permet de gagner du temps et ménage davantage la reine.</x:v>
      </x:c>
      <x:c r="M52" s="508" t="str">
        <x:v>50 % (environ) : 1 bande MAQS ou Formic Pro, ou un traitement unique de faible intensité à l’acide formique pour une réduction rapide. Cette réduction rapide permet de gagner du temps et ménage davantage la reine.</x:v>
      </x:c>
    </x:row>
    <x:row r="53" ht="41.599998474121094" customHeight="1">
      <x:c r="A53" s="498"/>
      <x:c r="B53" s="508" t="str">
        <x:v>80–90 % : Hopguard 3 si la colonie est sans couvain ; des applications répétées seraient nécessaires en présence de couvain. Peut être utilisé pendant la miellée.</x:v>
      </x:c>
      <x:c r="C53" s="508" t="str">
        <x:v>80–90 % : Hopguard 3 si la colonie est sans couvain ; des applications répétées seraient nécessaires en présence de couvain. Peut être utilisé pendant la miellée.</x:v>
      </x:c>
      <x:c r="D53" s="508" t="str">
        <x:v>80–90 % : Hopguard 3 si la colonie est sans couvain ; des applications répétées seraient nécessaires en présence de couvain. Peut être utilisé pendant la miellée.</x:v>
      </x:c>
      <x:c r="E53" s="508" t="str">
        <x:v>80–90 % : Hopguard 3 si la colonie est sans couvain ; des applications répétées seraient nécessaires en présence de couvain. Peut être utilisé pendant la miellée.</x:v>
      </x:c>
      <x:c r="F53" s="508" t="str">
        <x:v>80–90 % : Hopguard 3 si la colonie est sans couvain ; des applications répétées seraient nécessaires en présence de couvain. Peut être utilisé pendant la miellée.</x:v>
      </x:c>
      <x:c r="G53" s="508" t="str">
        <x:v>80–90 % : Hopguard 3 si la colonie est sans couvain ; des applications répétées seraient nécessaires en présence de couvain. Peut être utilisé pendant la miellée.</x:v>
      </x:c>
      <x:c r="H53" s="508" t="str">
        <x:v>80–90 % : Hopguard 3 si la colonie est sans couvain ; des applications répétées seraient nécessaires en présence de couvain. Peut être utilisé pendant la miellée.</x:v>
      </x:c>
      <x:c r="I53" s="508" t="str">
        <x:v>80–90 % : Hopguard 3 si la colonie est sans couvain ; des applications répétées seraient nécessaires en présence de couvain. Peut être utilisé pendant la miellée.</x:v>
      </x:c>
      <x:c r="J53" s="508" t="str">
        <x:v>80–90 % : Hopguard 3 si la colonie est sans couvain ; des applications répétées seraient nécessaires en présence de couvain. Peut être utilisé pendant la miellée.</x:v>
      </x:c>
      <x:c r="K53" s="508" t="str">
        <x:v>80–90 % : Hopguard 3 si la colonie est sans couvain ; des applications répétées seraient nécessaires en présence de couvain. Peut être utilisé pendant la miellée.</x:v>
      </x:c>
      <x:c r="L53" s="508" t="str">
        <x:v>80–90 % : Hopguard 3 si la colonie est sans couvain ; des applications répétées seraient nécessaires en présence de couvain. Peut être utilisé pendant la miellée.</x:v>
      </x:c>
      <x:c r="M53" s="508" t="str">
        <x:v>80–90 % : Hopguard 3 si la colonie est sans couvain ; des applications répétées seraient nécessaires en présence de couvain. Peut être utilisé pendant la miellée.</x:v>
      </x:c>
    </x:row>
    <x:row r="54" ht="41.599998474121094" customHeight="1">
      <x:c r="A54" s="498"/>
      <x:c r="B54" s="508" t="str">
        <x:v>25 % : un seul saupoudrage de sucre glace, en supposant la chute de 50 % des varroas phorétiques. Nécessite des applications multiples et continues.</x:v>
      </x:c>
      <x:c r="C54" s="508" t="str">
        <x:v>25 % : un seul saupoudrage de sucre glace, en supposant la chute de 50 % des varroas phorétiques. Nécessite des applications multiples et continues.</x:v>
      </x:c>
      <x:c r="D54" s="508" t="str">
        <x:v>25 % : un seul saupoudrage de sucre glace, en supposant la chute de 50 % des varroas phorétiques. Nécessite des applications multiples et continues.</x:v>
      </x:c>
      <x:c r="E54" s="508" t="str">
        <x:v>25 % : un seul saupoudrage de sucre glace, en supposant la chute de 50 % des varroas phorétiques. Nécessite des applications multiples et continues.</x:v>
      </x:c>
      <x:c r="F54" s="508" t="str">
        <x:v>25 % : un seul saupoudrage de sucre glace, en supposant la chute de 50 % des varroas phorétiques. Nécessite des applications multiples et continues.</x:v>
      </x:c>
      <x:c r="G54" s="508" t="str">
        <x:v>25 % : un seul saupoudrage de sucre glace, en supposant la chute de 50 % des varroas phorétiques. Nécessite des applications multiples et continues.</x:v>
      </x:c>
      <x:c r="H54" s="508" t="str">
        <x:v>25 % : un seul saupoudrage de sucre glace, en supposant la chute de 50 % des varroas phorétiques. Nécessite des applications multiples et continues.</x:v>
      </x:c>
      <x:c r="I54" s="508" t="str">
        <x:v>25 % : un seul saupoudrage de sucre glace, en supposant la chute de 50 % des varroas phorétiques. Nécessite des applications multiples et continues.</x:v>
      </x:c>
      <x:c r="J54" s="508" t="str">
        <x:v>25 % : un seul saupoudrage de sucre glace, en supposant la chute de 50 % des varroas phorétiques. Nécessite des applications multiples et continues.</x:v>
      </x:c>
      <x:c r="K54" s="508" t="str">
        <x:v>25 % : un seul saupoudrage de sucre glace, en supposant la chute de 50 % des varroas phorétiques. Nécessite des applications multiples et continues.</x:v>
      </x:c>
      <x:c r="L54" s="508" t="str">
        <x:v>25 % : un seul saupoudrage de sucre glace, en supposant la chute de 50 % des varroas phorétiques. Nécessite des applications multiples et continues.</x:v>
      </x:c>
      <x:c r="M54" s="508" t="str">
        <x:v>25 % : un seul saupoudrage de sucre glace, en supposant la chute de 50 % des varroas phorétiques. Nécessite des applications multiples et continues.</x:v>
      </x:c>
    </x:row>
    <x:row r="55" ht="41.599998474121094" customHeight="1">
      <x:c r="A55" s="498"/>
      <x:c r="B55" s="508" t="str">
        <x:v>15–20 % : retrait complet du couvain de mâles, s’il est effectué tôt dans la saison, pour chaque retrait. Procure une certaine réduction, mais demande beaucoup de travail.</x:v>
      </x:c>
      <x:c r="C55" s="508" t="str">
        <x:v>15–20 % : retrait complet du couvain de mâles, s’il est effectué tôt dans la saison, pour chaque retrait. Procure une certaine réduction, mais demande beaucoup de travail.</x:v>
      </x:c>
      <x:c r="D55" s="508" t="str">
        <x:v>15–20 % : retrait complet du couvain de mâles, s’il est effectué tôt dans la saison, pour chaque retrait. Procure une certaine réduction, mais demande beaucoup de travail.</x:v>
      </x:c>
      <x:c r="E55" s="508" t="str">
        <x:v>15–20 % : retrait complet du couvain de mâles, s’il est effectué tôt dans la saison, pour chaque retrait. Procure une certaine réduction, mais demande beaucoup de travail.</x:v>
      </x:c>
      <x:c r="F55" s="508" t="str">
        <x:v>15–20 % : retrait complet du couvain de mâles, s’il est effectué tôt dans la saison, pour chaque retrait. Procure une certaine réduction, mais demande beaucoup de travail.</x:v>
      </x:c>
      <x:c r="G55" s="508" t="str">
        <x:v>15–20 % : retrait complet du couvain de mâles, s’il est effectué tôt dans la saison, pour chaque retrait. Procure une certaine réduction, mais demande beaucoup de travail.</x:v>
      </x:c>
      <x:c r="H55" s="508" t="str">
        <x:v>15–20 % : retrait complet du couvain de mâles, s’il est effectué tôt dans la saison, pour chaque retrait. Procure une certaine réduction, mais demande beaucoup de travail.</x:v>
      </x:c>
      <x:c r="I55" s="508" t="str">
        <x:v>15–20 % : retrait complet du couvain de mâles, s’il est effectué tôt dans la saison, pour chaque retrait. Procure une certaine réduction, mais demande beaucoup de travail.</x:v>
      </x:c>
      <x:c r="J55" s="508" t="str">
        <x:v>15–20 % : retrait complet du couvain de mâles, s’il est effectué tôt dans la saison, pour chaque retrait. Procure une certaine réduction, mais demande beaucoup de travail.</x:v>
      </x:c>
      <x:c r="K55" s="508" t="str">
        <x:v>15–20 % : retrait complet du couvain de mâles, s’il est effectué tôt dans la saison, pour chaque retrait. Procure une certaine réduction, mais demande beaucoup de travail.</x:v>
      </x:c>
      <x:c r="L55" s="508" t="str">
        <x:v>15–20 % : retrait complet du couvain de mâles, s’il est effectué tôt dans la saison, pour chaque retrait. Procure une certaine réduction, mais demande beaucoup de travail.</x:v>
      </x:c>
      <x:c r="M55" s="508" t="str">
        <x:v>15–20 % : retrait complet du couvain de mâles, s’il est effectué tôt dans la saison, pour chaque retrait. Procure une certaine réduction, mais demande beaucoup de travail.</x:v>
      </x:c>
    </x:row>
    <x:row r="56" ht="41.599998474121094" customHeight="1">
      <x:c r="A56" s="498"/>
      <x:c r="B56" s="508" t="str">
        <x:v>80–95 % : acide oxalique par dégouttement ou sublimation en l’absence de couvain. Excellente réduction lorsque la colonie n’a pas de couvain, à la suite d’une rupture naturelle ou provoquée.</x:v>
      </x:c>
      <x:c r="C56" s="508" t="str">
        <x:v>80–95 % : acide oxalique par dégouttement ou sublimation en l’absence de couvain. Excellente réduction lorsque la colonie n’a pas de couvain, à la suite d’une rupture naturelle ou provoquée.</x:v>
      </x:c>
      <x:c r="D56" s="508" t="str">
        <x:v>80–95 % : acide oxalique par dégouttement ou sublimation en l’absence de couvain. Excellente réduction lorsque la colonie n’a pas de couvain, à la suite d’une rupture naturelle ou provoquée.</x:v>
      </x:c>
      <x:c r="E56" s="508" t="str">
        <x:v>80–95 % : acide oxalique par dégouttement ou sublimation en l’absence de couvain. Excellente réduction lorsque la colonie n’a pas de couvain, à la suite d’une rupture naturelle ou provoquée.</x:v>
      </x:c>
      <x:c r="F56" s="508" t="str">
        <x:v>80–95 % : acide oxalique par dégouttement ou sublimation en l’absence de couvain. Excellente réduction lorsque la colonie n’a pas de couvain, à la suite d’une rupture naturelle ou provoquée.</x:v>
      </x:c>
      <x:c r="G56" s="508" t="str">
        <x:v>80–95 % : acide oxalique par dégouttement ou sublimation en l’absence de couvain. Excellente réduction lorsque la colonie n’a pas de couvain, à la suite d’une rupture naturelle ou provoquée.</x:v>
      </x:c>
      <x:c r="H56" s="508" t="str">
        <x:v>80–95 % : acide oxalique par dégouttement ou sublimation en l’absence de couvain. Excellente réduction lorsque la colonie n’a pas de couvain, à la suite d’une rupture naturelle ou provoquée.</x:v>
      </x:c>
      <x:c r="I56" s="508" t="str">
        <x:v>80–95 % : acide oxalique par dégouttement ou sublimation en l’absence de couvain. Excellente réduction lorsque la colonie n’a pas de couvain, à la suite d’une rupture naturelle ou provoquée.</x:v>
      </x:c>
      <x:c r="J56" s="508" t="str">
        <x:v>80–95 % : acide oxalique par dégouttement ou sublimation en l’absence de couvain. Excellente réduction lorsque la colonie n’a pas de couvain, à la suite d’une rupture naturelle ou provoquée.</x:v>
      </x:c>
      <x:c r="K56" s="508" t="str">
        <x:v>80–95 % : acide oxalique par dégouttement ou sublimation en l’absence de couvain. Excellente réduction lorsque la colonie n’a pas de couvain, à la suite d’une rupture naturelle ou provoquée.</x:v>
      </x:c>
      <x:c r="L56" s="508" t="str">
        <x:v>80–95 % : acide oxalique par dégouttement ou sublimation en l’absence de couvain. Excellente réduction lorsque la colonie n’a pas de couvain, à la suite d’une rupture naturelle ou provoquée.</x:v>
      </x:c>
      <x:c r="M56" s="508" t="str">
        <x:v>80–95 % : acide oxalique par dégouttement ou sublimation en l’absence de couvain. Excellente réduction lorsque la colonie n’a pas de couvain, à la suite d’une rupture naturelle ou provoquée.</x:v>
      </x:c>
    </x:row>
    <x:row r="57" ht="41.599998474121094" customHeight="1">
      <x:c r="A57" s="498"/>
      <x:c r="B57" s="508" t="str">
        <x:v>70 % : deux sublimations d’acide oxalique dans une ruche contenant du couvain, proportionnellement au pourcentage de varroas phorétiques. Réduction limitée lorsque les colonies contiennent du couvain.</x:v>
      </x:c>
      <x:c r="C57" s="508" t="str">
        <x:v>70 % : deux sublimations d’acide oxalique dans une ruche contenant du couvain, proportionnellement au pourcentage de varroas phorétiques. Réduction limitée lorsque les colonies contiennent du couvain.</x:v>
      </x:c>
      <x:c r="D57" s="508" t="str">
        <x:v>70 % : deux sublimations d’acide oxalique dans une ruche contenant du couvain, proportionnellement au pourcentage de varroas phorétiques. Réduction limitée lorsque les colonies contiennent du couvain.</x:v>
      </x:c>
      <x:c r="E57" s="508" t="str">
        <x:v>70 % : deux sublimations d’acide oxalique dans une ruche contenant du couvain, proportionnellement au pourcentage de varroas phorétiques. Réduction limitée lorsque les colonies contiennent du couvain.</x:v>
      </x:c>
      <x:c r="F57" s="508" t="str">
        <x:v>70 % : deux sublimations d’acide oxalique dans une ruche contenant du couvain, proportionnellement au pourcentage de varroas phorétiques. Réduction limitée lorsque les colonies contiennent du couvain.</x:v>
      </x:c>
      <x:c r="G57" s="508" t="str">
        <x:v>70 % : deux sublimations d’acide oxalique dans une ruche contenant du couvain, proportionnellement au pourcentage de varroas phorétiques. Réduction limitée lorsque les colonies contiennent du couvain.</x:v>
      </x:c>
      <x:c r="H57" s="508" t="str">
        <x:v>70 % : deux sublimations d’acide oxalique dans une ruche contenant du couvain, proportionnellement au pourcentage de varroas phorétiques. Réduction limitée lorsque les colonies contiennent du couvain.</x:v>
      </x:c>
      <x:c r="I57" s="508" t="str">
        <x:v>70 % : deux sublimations d’acide oxalique dans une ruche contenant du couvain, proportionnellement au pourcentage de varroas phorétiques. Réduction limitée lorsque les colonies contiennent du couvain.</x:v>
      </x:c>
      <x:c r="J57" s="508" t="str">
        <x:v>70 % : deux sublimations d’acide oxalique dans une ruche contenant du couvain, proportionnellement au pourcentage de varroas phorétiques. Réduction limitée lorsque les colonies contiennent du couvain.</x:v>
      </x:c>
      <x:c r="K57" s="508" t="str">
        <x:v>70 % : deux sublimations d’acide oxalique dans une ruche contenant du couvain, proportionnellement au pourcentage de varroas phorétiques. Réduction limitée lorsque les colonies contiennent du couvain.</x:v>
      </x:c>
      <x:c r="L57" s="508" t="str">
        <x:v>70 % : deux sublimations d’acide oxalique dans une ruche contenant du couvain, proportionnellement au pourcentage de varroas phorétiques. Réduction limitée lorsque les colonies contiennent du couvain.</x:v>
      </x:c>
      <x:c r="M57" s="508" t="str">
        <x:v>70 % : deux sublimations d’acide oxalique dans une ruche contenant du couvain, proportionnellement au pourcentage de varroas phorétiques. Réduction limitée lorsque les colonies contiennent du couvain.</x:v>
      </x:c>
    </x:row>
    <x:row r="58" ht="56.400001525878906" customHeight="1">
      <x:c r="A58" s="498"/>
      <x:c r="B58" s="508" t="str">
        <x:v>85 %, 3 fois : éponges à l’acide oxalique et à la glycérine à libération prolongée ; pour le résultat final à 60 jours, saisir 45 % sur quatre périodes consécutives, à partir du moment de l’application. Peut être utilisé pendant la miellée.</x:v>
      </x:c>
      <x:c r="C58" s="508" t="str">
        <x:v>85 %, 3 fois : éponges à l’acide oxalique et à la glycérine à libération prolongée ; pour le résultat final à 60 jours, saisir 45 % sur quatre périodes consécutives, à partir du moment de l’application. Peut être utilisé pendant la miellée.</x:v>
      </x:c>
      <x:c r="D58" s="508" t="str">
        <x:v>85 %, 3 fois : éponges à l’acide oxalique et à la glycérine à libération prolongée ; pour le résultat final à 60 jours, saisir 45 % sur quatre périodes consécutives, à partir du moment de l’application. Peut être utilisé pendant la miellée.</x:v>
      </x:c>
      <x:c r="E58" s="508" t="str">
        <x:v>85 %, 3 fois : éponges à l’acide oxalique et à la glycérine à libération prolongée ; pour le résultat final à 60 jours, saisir 45 % sur quatre périodes consécutives, à partir du moment de l’application. Peut être utilisé pendant la miellée.</x:v>
      </x:c>
      <x:c r="F58" s="508" t="str">
        <x:v>85 %, 3 fois : éponges à l’acide oxalique et à la glycérine à libération prolongée ; pour le résultat final à 60 jours, saisir 45 % sur quatre périodes consécutives, à partir du moment de l’application. Peut être utilisé pendant la miellée.</x:v>
      </x:c>
      <x:c r="G58" s="508" t="str">
        <x:v>85 %, 3 fois : éponges à l’acide oxalique et à la glycérine à libération prolongée ; pour le résultat final à 60 jours, saisir 45 % sur quatre périodes consécutives, à partir du moment de l’application. Peut être utilisé pendant la miellée.</x:v>
      </x:c>
      <x:c r="H58" s="508" t="str">
        <x:v>85 %, 3 fois : éponges à l’acide oxalique et à la glycérine à libération prolongée ; pour le résultat final à 60 jours, saisir 45 % sur quatre périodes consécutives, à partir du moment de l’application. Peut être utilisé pendant la miellée.</x:v>
      </x:c>
      <x:c r="I58" s="508" t="str">
        <x:v>85 %, 3 fois : éponges à l’acide oxalique et à la glycérine à libération prolongée ; pour le résultat final à 60 jours, saisir 45 % sur quatre périodes consécutives, à partir du moment de l’application. Peut être utilisé pendant la miellée.</x:v>
      </x:c>
      <x:c r="J58" s="508" t="str">
        <x:v>85 %, 3 fois : éponges à l’acide oxalique et à la glycérine à libération prolongée ; pour le résultat final à 60 jours, saisir 45 % sur quatre périodes consécutives, à partir du moment de l’application. Peut être utilisé pendant la miellée.</x:v>
      </x:c>
      <x:c r="K58" s="508" t="str">
        <x:v>85 %, 3 fois : éponges à l’acide oxalique et à la glycérine à libération prolongée ; pour le résultat final à 60 jours, saisir 45 % sur quatre périodes consécutives, à partir du moment de l’application. Peut être utilisé pendant la miellée.</x:v>
      </x:c>
      <x:c r="L58" s="508" t="str">
        <x:v>85 %, 3 fois : éponges à l’acide oxalique et à la glycérine à libération prolongée ; pour le résultat final à 60 jours, saisir 45 % sur quatre périodes consécutives, à partir du moment de l’application. Peut être utilisé pendant la miellée.</x:v>
      </x:c>
      <x:c r="M58" s="508" t="str">
        <x:v>85 %, 3 fois : éponges à l’acide oxalique et à la glycérine à libération prolongée ; pour le résultat final à 60 jours, saisir 45 % sur quatre périodes consécutives, à partir du moment de l’application. Peut être utilisé pendant la miellée.</x:v>
      </x:c>
    </x:row>
    <x:row r="59" ht="41.599998474121094" customHeight="1">
      <x:c r="A59" s="498"/>
      <x:c r="B59" s="508" t="str">
        <x:v>Environ 30 % : émission d’un essaim primaire au printemps. Hypothèses : 80 % des varroas dans le couvain, départ de 70 % des ouvrières, rupture de couvain de 14 jours.</x:v>
      </x:c>
      <x:c r="C59" s="508" t="str">
        <x:v>Environ 30 % : émission d’un essaim primaire au printemps. Hypothèses : 80 % des varroas dans le couvain, départ de 70 % des ouvrières, rupture de couvain de 14 jours.</x:v>
      </x:c>
      <x:c r="D59" s="508" t="str">
        <x:v>Environ 30 % : émission d’un essaim primaire au printemps. Hypothèses : 80 % des varroas dans le couvain, départ de 70 % des ouvrières, rupture de couvain de 14 jours.</x:v>
      </x:c>
      <x:c r="E59" s="508" t="str">
        <x:v>Environ 30 % : émission d’un essaim primaire au printemps. Hypothèses : 80 % des varroas dans le couvain, départ de 70 % des ouvrières, rupture de couvain de 14 jours.</x:v>
      </x:c>
      <x:c r="F59" s="508" t="str">
        <x:v>Environ 30 % : émission d’un essaim primaire au printemps. Hypothèses : 80 % des varroas dans le couvain, départ de 70 % des ouvrières, rupture de couvain de 14 jours.</x:v>
      </x:c>
      <x:c r="G59" s="508" t="str">
        <x:v>Environ 30 % : émission d’un essaim primaire au printemps. Hypothèses : 80 % des varroas dans le couvain, départ de 70 % des ouvrières, rupture de couvain de 14 jours.</x:v>
      </x:c>
      <x:c r="H59" s="508" t="str">
        <x:v>Environ 30 % : émission d’un essaim primaire au printemps. Hypothèses : 80 % des varroas dans le couvain, départ de 70 % des ouvrières, rupture de couvain de 14 jours.</x:v>
      </x:c>
      <x:c r="I59" s="508" t="str">
        <x:v>Environ 30 % : émission d’un essaim primaire au printemps. Hypothèses : 80 % des varroas dans le couvain, départ de 70 % des ouvrières, rupture de couvain de 14 jours.</x:v>
      </x:c>
      <x:c r="J59" s="508" t="str">
        <x:v>Environ 30 % : émission d’un essaim primaire au printemps. Hypothèses : 80 % des varroas dans le couvain, départ de 70 % des ouvrières, rupture de couvain de 14 jours.</x:v>
      </x:c>
      <x:c r="K59" s="508" t="str">
        <x:v>Environ 30 % : émission d’un essaim primaire au printemps. Hypothèses : 80 % des varroas dans le couvain, départ de 70 % des ouvrières, rupture de couvain de 14 jours.</x:v>
      </x:c>
      <x:c r="L59" s="508" t="str">
        <x:v>Environ 30 % : émission d’un essaim primaire au printemps. Hypothèses : 80 % des varroas dans le couvain, départ de 70 % des ouvrières, rupture de couvain de 14 jours.</x:v>
      </x:c>
      <x:c r="M59" s="508" t="str">
        <x:v>Environ 30 % : émission d’un essaim primaire au printemps. Hypothèses : 80 % des varroas dans le couvain, départ de 70 % des ouvrières, rupture de couvain de 14 jours.</x:v>
      </x:c>
    </x:row>
    <x:row r="60" ht="56.400001525878906" customHeight="1">
      <x:c r="A60" s="498"/>
      <x:c r="B60" s="508" t="str">
        <x:v>Environ 50–55 % : rupture de couvain provoquée par le retrait de la reine ou par une division sans introduction de reine (« walkaway split »). On suppose une rupture de couvain de 26 jours. Très efficace si elle est associée à un dégouttement d’acide oxalique.</x:v>
      </x:c>
      <x:c r="C60" s="508" t="str">
        <x:v>Environ 50–55 % : rupture de couvain provoquée par le retrait de la reine ou par une division sans introduction de reine (« walkaway split »). On suppose une rupture de couvain de 26 jours. Très efficace si elle est associée à un dégouttement d’acide oxalique.</x:v>
      </x:c>
      <x:c r="D60" s="508" t="str">
        <x:v>Environ 50–55 % : rupture de couvain provoquée par le retrait de la reine ou par une division sans introduction de reine (« walkaway split »). On suppose une rupture de couvain de 26 jours. Très efficace si elle est associée à un dégouttement d’acide oxalique.</x:v>
      </x:c>
      <x:c r="E60" s="508" t="str">
        <x:v>Environ 50–55 % : rupture de couvain provoquée par le retrait de la reine ou par une division sans introduction de reine (« walkaway split »). On suppose une rupture de couvain de 26 jours. Très efficace si elle est associée à un dégouttement d’acide oxalique.</x:v>
      </x:c>
      <x:c r="F60" s="508" t="str">
        <x:v>Environ 50–55 % : rupture de couvain provoquée par le retrait de la reine ou par une division sans introduction de reine (« walkaway split »). On suppose une rupture de couvain de 26 jours. Très efficace si elle est associée à un dégouttement d’acide oxalique.</x:v>
      </x:c>
      <x:c r="G60" s="508" t="str">
        <x:v>Environ 50–55 % : rupture de couvain provoquée par le retrait de la reine ou par une division sans introduction de reine (« walkaway split »). On suppose une rupture de couvain de 26 jours. Très efficace si elle est associée à un dégouttement d’acide oxalique.</x:v>
      </x:c>
      <x:c r="H60" s="508" t="str">
        <x:v>Environ 50–55 % : rupture de couvain provoquée par le retrait de la reine ou par une division sans introduction de reine (« walkaway split »). On suppose une rupture de couvain de 26 jours. Très efficace si elle est associée à un dégouttement d’acide oxalique.</x:v>
      </x:c>
      <x:c r="I60" s="508" t="str">
        <x:v>Environ 50–55 % : rupture de couvain provoquée par le retrait de la reine ou par une division sans introduction de reine (« walkaway split »). On suppose une rupture de couvain de 26 jours. Très efficace si elle est associée à un dégouttement d’acide oxalique.</x:v>
      </x:c>
      <x:c r="J60" s="508" t="str">
        <x:v>Environ 50–55 % : rupture de couvain provoquée par le retrait de la reine ou par une division sans introduction de reine (« walkaway split »). On suppose une rupture de couvain de 26 jours. Très efficace si elle est associée à un dégouttement d’acide oxalique.</x:v>
      </x:c>
      <x:c r="K60" s="508" t="str">
        <x:v>Environ 50–55 % : rupture de couvain provoquée par le retrait de la reine ou par une division sans introduction de reine (« walkaway split »). On suppose une rupture de couvain de 26 jours. Très efficace si elle est associée à un dégouttement d’acide oxalique.</x:v>
      </x:c>
      <x:c r="L60" s="508" t="str">
        <x:v>Environ 50–55 % : rupture de couvain provoquée par le retrait de la reine ou par une division sans introduction de reine (« walkaway split »). On suppose une rupture de couvain de 26 jours. Très efficace si elle est associée à un dégouttement d’acide oxalique.</x:v>
      </x:c>
      <x:c r="M60" s="508" t="str">
        <x:v>Environ 50–55 % : rupture de couvain provoquée par le retrait de la reine ou par une division sans introduction de reine (« walkaway split »). On suppose une rupture de couvain de 26 jours. Très efficace si elle est associée à un dégouttement d’acide oxalique.</x:v>
      </x:c>
    </x:row>
    <x:row r="61" ht="18" customHeight="1">
      <x:c r="A61" s="498"/>
      <x:c r="B61" s="498"/>
      <x:c r="C61" s="498"/>
      <x:c r="D61" s="498"/>
      <x:c r="E61" s="498"/>
      <x:c r="F61" s="498"/>
      <x:c r="G61" s="498"/>
      <x:c r="H61" s="498"/>
      <x:c r="I61" s="498"/>
      <x:c r="J61" s="498"/>
      <x:c r="K61" s="498"/>
      <x:c r="L61" s="498"/>
      <x:c r="M61" s="498"/>
    </x:row>
    <x:row r="62" ht="18" customHeight="1">
      <x:c r="A62" s="498"/>
      <x:c r="B62" s="529" t="str">
        <x:v>Texte de la feuille · BP3</x:v>
      </x:c>
      <x:c r="C62" s="529" t="str">
        <x:v>Texte de la feuille · BP3</x:v>
      </x:c>
      <x:c r="D62" s="529" t="str">
        <x:v>Texte de la feuille · BP3</x:v>
      </x:c>
      <x:c r="E62" s="529" t="str">
        <x:v>Texte de la feuille · BP3</x:v>
      </x:c>
      <x:c r="F62" s="529" t="str">
        <x:v>Texte de la feuille · BP3</x:v>
      </x:c>
      <x:c r="G62" s="529" t="str">
        <x:v>Texte de la feuille · BP3</x:v>
      </x:c>
      <x:c r="H62" s="529" t="str">
        <x:v>Texte de la feuille · BP3</x:v>
      </x:c>
      <x:c r="I62" s="529" t="str">
        <x:v>Texte de la feuille · BP3</x:v>
      </x:c>
      <x:c r="J62" s="529" t="str">
        <x:v>Texte de la feuille · BP3</x:v>
      </x:c>
      <x:c r="K62" s="529" t="str">
        <x:v>Texte de la feuille · BP3</x:v>
      </x:c>
      <x:c r="L62" s="529" t="str">
        <x:v>Texte de la feuille · BP3</x:v>
      </x:c>
      <x:c r="M62" s="529" t="str">
        <x:v>Texte de la feuille · BP3</x:v>
      </x:c>
    </x:row>
    <x:row r="63" ht="41.599998474121094" customHeight="1">
      <x:c r="A63" s="498"/>
      <x:c r="B63" s="508" t="str">
        <x:v>Dans cette ligne, j’ai placé des notes et des validations des calculs sous forme de commentaires. Ceux qui sont surlignés en rouge demandent un examen plus approfondi →</x:v>
      </x:c>
      <x:c r="C63" s="508" t="str">
        <x:v>Dans cette ligne, j’ai placé des notes et des validations des calculs sous forme de commentaires. Ceux qui sont surlignés en rouge demandent un examen plus approfondi →</x:v>
      </x:c>
      <x:c r="D63" s="508" t="str">
        <x:v>Dans cette ligne, j’ai placé des notes et des validations des calculs sous forme de commentaires. Ceux qui sont surlignés en rouge demandent un examen plus approfondi →</x:v>
      </x:c>
      <x:c r="E63" s="508" t="str">
        <x:v>Dans cette ligne, j’ai placé des notes et des validations des calculs sous forme de commentaires. Ceux qui sont surlignés en rouge demandent un examen plus approfondi →</x:v>
      </x:c>
      <x:c r="F63" s="508" t="str">
        <x:v>Dans cette ligne, j’ai placé des notes et des validations des calculs sous forme de commentaires. Ceux qui sont surlignés en rouge demandent un examen plus approfondi →</x:v>
      </x:c>
      <x:c r="G63" s="508" t="str">
        <x:v>Dans cette ligne, j’ai placé des notes et des validations des calculs sous forme de commentaires. Ceux qui sont surlignés en rouge demandent un examen plus approfondi →</x:v>
      </x:c>
      <x:c r="H63" s="508" t="str">
        <x:v>Dans cette ligne, j’ai placé des notes et des validations des calculs sous forme de commentaires. Ceux qui sont surlignés en rouge demandent un examen plus approfondi →</x:v>
      </x:c>
      <x:c r="I63" s="508" t="str">
        <x:v>Dans cette ligne, j’ai placé des notes et des validations des calculs sous forme de commentaires. Ceux qui sont surlignés en rouge demandent un examen plus approfondi →</x:v>
      </x:c>
      <x:c r="J63" s="508" t="str">
        <x:v>Dans cette ligne, j’ai placé des notes et des validations des calculs sous forme de commentaires. Ceux qui sont surlignés en rouge demandent un examen plus approfondi →</x:v>
      </x:c>
      <x:c r="K63" s="508" t="str">
        <x:v>Dans cette ligne, j’ai placé des notes et des validations des calculs sous forme de commentaires. Ceux qui sont surlignés en rouge demandent un examen plus approfondi →</x:v>
      </x:c>
      <x:c r="L63" s="508" t="str">
        <x:v>Dans cette ligne, j’ai placé des notes et des validations des calculs sous forme de commentaires. Ceux qui sont surlignés en rouge demandent un examen plus approfondi →</x:v>
      </x:c>
      <x:c r="M63" s="508" t="str">
        <x:v>Dans cette ligne, j’ai placé des notes et des validations des calculs sous forme de commentaires. Ceux qui sont surlignés en rouge demandent un examen plus approfondi →</x:v>
      </x:c>
    </x:row>
    <x:row r="64" ht="18" customHeight="1">
      <x:c r="A64" s="498"/>
      <x:c r="B64" s="498"/>
      <x:c r="C64" s="498"/>
      <x:c r="D64" s="498"/>
      <x:c r="E64" s="498"/>
      <x:c r="F64" s="498"/>
      <x:c r="G64" s="498"/>
      <x:c r="H64" s="498"/>
      <x:c r="I64" s="498"/>
      <x:c r="J64" s="498"/>
      <x:c r="K64" s="498"/>
      <x:c r="L64" s="498"/>
      <x:c r="M64" s="498"/>
    </x:row>
    <x:row r="65" ht="18" customHeight="1">
      <x:c r="A65" s="498"/>
      <x:c r="B65" s="529" t="str">
        <x:v>Texte de la feuille · BH4</x:v>
      </x:c>
      <x:c r="C65" s="529" t="str">
        <x:v>Texte de la feuille · BH4</x:v>
      </x:c>
      <x:c r="D65" s="529" t="str">
        <x:v>Texte de la feuille · BH4</x:v>
      </x:c>
      <x:c r="E65" s="529" t="str">
        <x:v>Texte de la feuille · BH4</x:v>
      </x:c>
      <x:c r="F65" s="529" t="str">
        <x:v>Texte de la feuille · BH4</x:v>
      </x:c>
      <x:c r="G65" s="529" t="str">
        <x:v>Texte de la feuille · BH4</x:v>
      </x:c>
      <x:c r="H65" s="529" t="str">
        <x:v>Texte de la feuille · BH4</x:v>
      </x:c>
      <x:c r="I65" s="529" t="str">
        <x:v>Texte de la feuille · BH4</x:v>
      </x:c>
      <x:c r="J65" s="529" t="str">
        <x:v>Texte de la feuille · BH4</x:v>
      </x:c>
      <x:c r="K65" s="529" t="str">
        <x:v>Texte de la feuille · BH4</x:v>
      </x:c>
      <x:c r="L65" s="529" t="str">
        <x:v>Texte de la feuille · BH4</x:v>
      </x:c>
      <x:c r="M65" s="529" t="str">
        <x:v>Texte de la feuille · BH4</x:v>
      </x:c>
    </x:row>
    <x:row r="66" ht="86" customHeight="1">
      <x:c r="A66" s="498"/>
      <x:c r="B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C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D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E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F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G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H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I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J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K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L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c r="M66" s="508" t="str">
        <x:v>EFFICACITÉ DES TRAITEMENTS (pourcentage approximatif de réduction globale). Remarque : lorsque le pourcentage de couvain infesté approche 30 %, même avec un traitement très efficace, la colonie peut mettre longtemps à se remettre de l’épidémie de virus des ailes déformées (DWV) dans la ruche. Cette récupération dépend largement de la quantité de couvain élevée ; les chances de récupération sont donc plus faibles en fin de saison.</x:v>
      </x:c>
    </x:row>
    <x:row r="67" ht="18" customHeight="1">
      <x:c r="A67" s="498"/>
      <x:c r="B67" s="498"/>
      <x:c r="C67" s="498"/>
      <x:c r="D67" s="498"/>
      <x:c r="E67" s="498"/>
      <x:c r="F67" s="498"/>
      <x:c r="G67" s="498"/>
      <x:c r="H67" s="498"/>
      <x:c r="I67" s="498"/>
      <x:c r="J67" s="498"/>
      <x:c r="K67" s="498"/>
      <x:c r="L67" s="498"/>
      <x:c r="M67" s="498"/>
    </x:row>
    <x:row r="68" ht="18" customHeight="1">
      <x:c r="A68" s="498"/>
      <x:c r="B68" s="529" t="str">
        <x:v>Texte de la feuille · BI14</x:v>
      </x:c>
      <x:c r="C68" s="529" t="str">
        <x:v>Texte de la feuille · BI14</x:v>
      </x:c>
      <x:c r="D68" s="529" t="str">
        <x:v>Texte de la feuille · BI14</x:v>
      </x:c>
      <x:c r="E68" s="529" t="str">
        <x:v>Texte de la feuille · BI14</x:v>
      </x:c>
      <x:c r="F68" s="529" t="str">
        <x:v>Texte de la feuille · BI14</x:v>
      </x:c>
      <x:c r="G68" s="529" t="str">
        <x:v>Texte de la feuille · BI14</x:v>
      </x:c>
      <x:c r="H68" s="529" t="str">
        <x:v>Texte de la feuille · BI14</x:v>
      </x:c>
      <x:c r="I68" s="529" t="str">
        <x:v>Texte de la feuille · BI14</x:v>
      </x:c>
      <x:c r="J68" s="529" t="str">
        <x:v>Texte de la feuille · BI14</x:v>
      </x:c>
      <x:c r="K68" s="529" t="str">
        <x:v>Texte de la feuille · BI14</x:v>
      </x:c>
      <x:c r="L68" s="529" t="str">
        <x:v>Texte de la feuille · BI14</x:v>
      </x:c>
      <x:c r="M68" s="529" t="str">
        <x:v>Texte de la feuille · BI14</x:v>
      </x:c>
    </x:row>
    <x:row r="69" ht="56.400001525878906" customHeight="1">
      <x:c r="A69" s="498"/>
      <x:c r="B69" s="508" t="str">
        <x:v>Un seul dégouttement ou une seule sublimation d’acide oxalique dans une ruche contenant du couvain, proportionnellement au % de varroas phorétiques. 30–75 % si deux applications sont réalisées pendant la période.</x:v>
      </x:c>
      <x:c r="C69" s="508" t="str">
        <x:v>Un seul dégouttement ou une seule sublimation d’acide oxalique dans une ruche contenant du couvain, proportionnellement au % de varroas phorétiques. 30–75 % si deux applications sont réalisées pendant la période.</x:v>
      </x:c>
      <x:c r="D69" s="508" t="str">
        <x:v>Un seul dégouttement ou une seule sublimation d’acide oxalique dans une ruche contenant du couvain, proportionnellement au % de varroas phorétiques. 30–75 % si deux applications sont réalisées pendant la période.</x:v>
      </x:c>
      <x:c r="E69" s="508" t="str">
        <x:v>Un seul dégouttement ou une seule sublimation d’acide oxalique dans une ruche contenant du couvain, proportionnellement au % de varroas phorétiques. 30–75 % si deux applications sont réalisées pendant la période.</x:v>
      </x:c>
      <x:c r="F69" s="508" t="str">
        <x:v>Un seul dégouttement ou une seule sublimation d’acide oxalique dans une ruche contenant du couvain, proportionnellement au % de varroas phorétiques. 30–75 % si deux applications sont réalisées pendant la période.</x:v>
      </x:c>
      <x:c r="G69" s="508" t="str">
        <x:v>Un seul dégouttement ou une seule sublimation d’acide oxalique dans une ruche contenant du couvain, proportionnellement au % de varroas phorétiques. 30–75 % si deux applications sont réalisées pendant la période.</x:v>
      </x:c>
      <x:c r="H69" s="508" t="str">
        <x:v>Un seul dégouttement ou une seule sublimation d’acide oxalique dans une ruche contenant du couvain, proportionnellement au % de varroas phorétiques. 30–75 % si deux applications sont réalisées pendant la période.</x:v>
      </x:c>
      <x:c r="I69" s="508" t="str">
        <x:v>Un seul dégouttement ou une seule sublimation d’acide oxalique dans une ruche contenant du couvain, proportionnellement au % de varroas phorétiques. 30–75 % si deux applications sont réalisées pendant la période.</x:v>
      </x:c>
      <x:c r="J69" s="508" t="str">
        <x:v>Un seul dégouttement ou une seule sublimation d’acide oxalique dans une ruche contenant du couvain, proportionnellement au % de varroas phorétiques. 30–75 % si deux applications sont réalisées pendant la période.</x:v>
      </x:c>
      <x:c r="K69" s="508" t="str">
        <x:v>Un seul dégouttement ou une seule sublimation d’acide oxalique dans une ruche contenant du couvain, proportionnellement au % de varroas phorétiques. 30–75 % si deux applications sont réalisées pendant la période.</x:v>
      </x:c>
      <x:c r="L69" s="508" t="str">
        <x:v>Un seul dégouttement ou une seule sublimation d’acide oxalique dans une ruche contenant du couvain, proportionnellement au % de varroas phorétiques. 30–75 % si deux applications sont réalisées pendant la période.</x:v>
      </x:c>
      <x:c r="M69" s="508" t="str">
        <x:v>Un seul dégouttement ou une seule sublimation d’acide oxalique dans une ruche contenant du couvain, proportionnellement au % de varroas phorétiques. 30–75 % si deux applications sont réalisées pendant la période.</x:v>
      </x:c>
    </x:row>
    <x:row r="70" ht="18" customHeight="1">
      <x:c r="A70" s="498"/>
      <x:c r="B70" s="498"/>
      <x:c r="C70" s="498"/>
      <x:c r="D70" s="498"/>
      <x:c r="E70" s="498"/>
      <x:c r="F70" s="498"/>
      <x:c r="G70" s="498"/>
      <x:c r="H70" s="498"/>
      <x:c r="I70" s="498"/>
      <x:c r="J70" s="498"/>
      <x:c r="K70" s="498"/>
      <x:c r="L70" s="498"/>
      <x:c r="M70" s="498"/>
    </x:row>
    <x:row r="71" ht="18" customHeight="1">
      <x:c r="A71" s="498"/>
      <x:c r="B71" s="529" t="str">
        <x:v>Texte de la feuille · BI26</x:v>
      </x:c>
      <x:c r="C71" s="529" t="str">
        <x:v>Texte de la feuille · BI26</x:v>
      </x:c>
      <x:c r="D71" s="529" t="str">
        <x:v>Texte de la feuille · BI26</x:v>
      </x:c>
      <x:c r="E71" s="529" t="str">
        <x:v>Texte de la feuille · BI26</x:v>
      </x:c>
      <x:c r="F71" s="529" t="str">
        <x:v>Texte de la feuille · BI26</x:v>
      </x:c>
      <x:c r="G71" s="529" t="str">
        <x:v>Texte de la feuille · BI26</x:v>
      </x:c>
      <x:c r="H71" s="529" t="str">
        <x:v>Texte de la feuille · BI26</x:v>
      </x:c>
      <x:c r="I71" s="529" t="str">
        <x:v>Texte de la feuille · BI26</x:v>
      </x:c>
      <x:c r="J71" s="529" t="str">
        <x:v>Texte de la feuille · BI26</x:v>
      </x:c>
      <x:c r="K71" s="529" t="str">
        <x:v>Texte de la feuille · BI26</x:v>
      </x:c>
      <x:c r="L71" s="529" t="str">
        <x:v>Texte de la feuille · BI26</x:v>
      </x:c>
      <x:c r="M71" s="529" t="str">
        <x:v>Texte de la feuille · BI26</x:v>
      </x:c>
    </x:row>
    <x:row r="72" ht="41.599998474121094" customHeight="1">
      <x:c r="A72" s="498"/>
      <x:c r="B72" s="508" t="str">
        <x:v>Serviettes à l’acide oxalique et à la glycérine à libération prolongée ; pour le résultat final à 45 jours, saisir 85 % dans 3 cellules consécutives, à partir du moment de l’application.</x:v>
      </x:c>
      <x:c r="C72" s="508" t="str">
        <x:v>Serviettes à l’acide oxalique et à la glycérine à libération prolongée ; pour le résultat final à 45 jours, saisir 85 % dans 3 cellules consécutives, à partir du moment de l’application.</x:v>
      </x:c>
      <x:c r="D72" s="508" t="str">
        <x:v>Serviettes à l’acide oxalique et à la glycérine à libération prolongée ; pour le résultat final à 45 jours, saisir 85 % dans 3 cellules consécutives, à partir du moment de l’application.</x:v>
      </x:c>
      <x:c r="E72" s="508" t="str">
        <x:v>Serviettes à l’acide oxalique et à la glycérine à libération prolongée ; pour le résultat final à 45 jours, saisir 85 % dans 3 cellules consécutives, à partir du moment de l’application.</x:v>
      </x:c>
      <x:c r="F72" s="508" t="str">
        <x:v>Serviettes à l’acide oxalique et à la glycérine à libération prolongée ; pour le résultat final à 45 jours, saisir 85 % dans 3 cellules consécutives, à partir du moment de l’application.</x:v>
      </x:c>
      <x:c r="G72" s="508" t="str">
        <x:v>Serviettes à l’acide oxalique et à la glycérine à libération prolongée ; pour le résultat final à 45 jours, saisir 85 % dans 3 cellules consécutives, à partir du moment de l’application.</x:v>
      </x:c>
      <x:c r="H72" s="508" t="str">
        <x:v>Serviettes à l’acide oxalique et à la glycérine à libération prolongée ; pour le résultat final à 45 jours, saisir 85 % dans 3 cellules consécutives, à partir du moment de l’application.</x:v>
      </x:c>
      <x:c r="I72" s="508" t="str">
        <x:v>Serviettes à l’acide oxalique et à la glycérine à libération prolongée ; pour le résultat final à 45 jours, saisir 85 % dans 3 cellules consécutives, à partir du moment de l’application.</x:v>
      </x:c>
      <x:c r="J72" s="508" t="str">
        <x:v>Serviettes à l’acide oxalique et à la glycérine à libération prolongée ; pour le résultat final à 45 jours, saisir 85 % dans 3 cellules consécutives, à partir du moment de l’application.</x:v>
      </x:c>
      <x:c r="K72" s="508" t="str">
        <x:v>Serviettes à l’acide oxalique et à la glycérine à libération prolongée ; pour le résultat final à 45 jours, saisir 85 % dans 3 cellules consécutives, à partir du moment de l’application.</x:v>
      </x:c>
      <x:c r="L72" s="508" t="str">
        <x:v>Serviettes à l’acide oxalique et à la glycérine à libération prolongée ; pour le résultat final à 45 jours, saisir 85 % dans 3 cellules consécutives, à partir du moment de l’application.</x:v>
      </x:c>
      <x:c r="M72" s="508" t="str">
        <x:v>Serviettes à l’acide oxalique et à la glycérine à libération prolongée ; pour le résultat final à 45 jours, saisir 85 % dans 3 cellules consécutives, à partir du moment de l’application.</x:v>
      </x:c>
    </x:row>
    <x:row r="73" ht="18" customHeight="1">
      <x:c r="A73" s="498"/>
      <x:c r="B73" s="498"/>
      <x:c r="C73" s="498"/>
      <x:c r="D73" s="498"/>
      <x:c r="E73" s="498"/>
      <x:c r="F73" s="498"/>
      <x:c r="G73" s="498"/>
      <x:c r="H73" s="498"/>
      <x:c r="I73" s="498"/>
      <x:c r="J73" s="498"/>
      <x:c r="K73" s="498"/>
      <x:c r="L73" s="498"/>
      <x:c r="M73" s="498"/>
    </x:row>
    <x:row r="74" ht="18" customHeight="1">
      <x:c r="A74" s="498"/>
      <x:c r="B74" s="529" t="str">
        <x:v>Texte de la feuille · BR36</x:v>
      </x:c>
      <x:c r="C74" s="529" t="str">
        <x:v>Texte de la feuille · BR36</x:v>
      </x:c>
      <x:c r="D74" s="529" t="str">
        <x:v>Texte de la feuille · BR36</x:v>
      </x:c>
      <x:c r="E74" s="529" t="str">
        <x:v>Texte de la feuille · BR36</x:v>
      </x:c>
      <x:c r="F74" s="529" t="str">
        <x:v>Texte de la feuille · BR36</x:v>
      </x:c>
      <x:c r="G74" s="529" t="str">
        <x:v>Texte de la feuille · BR36</x:v>
      </x:c>
      <x:c r="H74" s="529" t="str">
        <x:v>Texte de la feuille · BR36</x:v>
      </x:c>
      <x:c r="I74" s="529" t="str">
        <x:v>Texte de la feuille · BR36</x:v>
      </x:c>
      <x:c r="J74" s="529" t="str">
        <x:v>Texte de la feuille · BR36</x:v>
      </x:c>
      <x:c r="K74" s="529" t="str">
        <x:v>Texte de la feuille · BR36</x:v>
      </x:c>
      <x:c r="L74" s="529" t="str">
        <x:v>Texte de la feuille · BR36</x:v>
      </x:c>
      <x:c r="M74" s="529" t="str">
        <x:v>Texte de la feuille · BR36</x:v>
      </x:c>
    </x:row>
    <x:row r="75" ht="41.599998474121094" customHeight="1">
      <x:c r="A75" s="498"/>
      <x:c r="B75" s="508" t="str">
        <x:v>Taux d’infestation des abeilles sortantes par rapport à l’ensemble des adultes. Estimation approximative étayée par Kraus 1993, Cervo 2014 et DeGrandi-Hoffman 2015. Mes propres essais (2) suggèrent 0,5–1.</x:v>
      </x:c>
      <x:c r="C75" s="508" t="str">
        <x:v>Taux d’infestation des abeilles sortantes par rapport à l’ensemble des adultes. Estimation approximative étayée par Kraus 1993, Cervo 2014 et DeGrandi-Hoffman 2015. Mes propres essais (2) suggèrent 0,5–1.</x:v>
      </x:c>
      <x:c r="D75" s="508" t="str">
        <x:v>Taux d’infestation des abeilles sortantes par rapport à l’ensemble des adultes. Estimation approximative étayée par Kraus 1993, Cervo 2014 et DeGrandi-Hoffman 2015. Mes propres essais (2) suggèrent 0,5–1.</x:v>
      </x:c>
      <x:c r="E75" s="508" t="str">
        <x:v>Taux d’infestation des abeilles sortantes par rapport à l’ensemble des adultes. Estimation approximative étayée par Kraus 1993, Cervo 2014 et DeGrandi-Hoffman 2015. Mes propres essais (2) suggèrent 0,5–1.</x:v>
      </x:c>
      <x:c r="F75" s="508" t="str">
        <x:v>Taux d’infestation des abeilles sortantes par rapport à l’ensemble des adultes. Estimation approximative étayée par Kraus 1993, Cervo 2014 et DeGrandi-Hoffman 2015. Mes propres essais (2) suggèrent 0,5–1.</x:v>
      </x:c>
      <x:c r="G75" s="508" t="str">
        <x:v>Taux d’infestation des abeilles sortantes par rapport à l’ensemble des adultes. Estimation approximative étayée par Kraus 1993, Cervo 2014 et DeGrandi-Hoffman 2015. Mes propres essais (2) suggèrent 0,5–1.</x:v>
      </x:c>
      <x:c r="H75" s="508" t="str">
        <x:v>Taux d’infestation des abeilles sortantes par rapport à l’ensemble des adultes. Estimation approximative étayée par Kraus 1993, Cervo 2014 et DeGrandi-Hoffman 2015. Mes propres essais (2) suggèrent 0,5–1.</x:v>
      </x:c>
      <x:c r="I75" s="508" t="str">
        <x:v>Taux d’infestation des abeilles sortantes par rapport à l’ensemble des adultes. Estimation approximative étayée par Kraus 1993, Cervo 2014 et DeGrandi-Hoffman 2015. Mes propres essais (2) suggèrent 0,5–1.</x:v>
      </x:c>
      <x:c r="J75" s="508" t="str">
        <x:v>Taux d’infestation des abeilles sortantes par rapport à l’ensemble des adultes. Estimation approximative étayée par Kraus 1993, Cervo 2014 et DeGrandi-Hoffman 2015. Mes propres essais (2) suggèrent 0,5–1.</x:v>
      </x:c>
      <x:c r="K75" s="508" t="str">
        <x:v>Taux d’infestation des abeilles sortantes par rapport à l’ensemble des adultes. Estimation approximative étayée par Kraus 1993, Cervo 2014 et DeGrandi-Hoffman 2015. Mes propres essais (2) suggèrent 0,5–1.</x:v>
      </x:c>
      <x:c r="L75" s="508" t="str">
        <x:v>Taux d’infestation des abeilles sortantes par rapport à l’ensemble des adultes. Estimation approximative étayée par Kraus 1993, Cervo 2014 et DeGrandi-Hoffman 2015. Mes propres essais (2) suggèrent 0,5–1.</x:v>
      </x:c>
      <x:c r="M75" s="508" t="str">
        <x:v>Taux d’infestation des abeilles sortantes par rapport à l’ensemble des adultes. Estimation approximative étayée par Kraus 1993, Cervo 2014 et DeGrandi-Hoffman 2015. Mes propres essais (2) suggèrent 0,5–1.</x:v>
      </x:c>
    </x:row>
    <x:row r="76" ht="18" customHeight="1">
      <x:c r="A76" s="498"/>
      <x:c r="B76" s="498"/>
      <x:c r="C76" s="498"/>
      <x:c r="D76" s="498"/>
      <x:c r="E76" s="498"/>
      <x:c r="F76" s="498"/>
      <x:c r="G76" s="498"/>
      <x:c r="H76" s="498"/>
      <x:c r="I76" s="498"/>
      <x:c r="J76" s="498"/>
      <x:c r="K76" s="498"/>
      <x:c r="L76" s="498"/>
      <x:c r="M76" s="498"/>
    </x:row>
    <x:row r="77" ht="18" customHeight="1">
      <x:c r="A77" s="498"/>
      <x:c r="B77" s="529" t="str">
        <x:v>Texte de la feuille · AH37</x:v>
      </x:c>
      <x:c r="C77" s="529" t="str">
        <x:v>Texte de la feuille · AH37</x:v>
      </x:c>
      <x:c r="D77" s="529" t="str">
        <x:v>Texte de la feuille · AH37</x:v>
      </x:c>
      <x:c r="E77" s="529" t="str">
        <x:v>Texte de la feuille · AH37</x:v>
      </x:c>
      <x:c r="F77" s="529" t="str">
        <x:v>Texte de la feuille · AH37</x:v>
      </x:c>
      <x:c r="G77" s="529" t="str">
        <x:v>Texte de la feuille · AH37</x:v>
      </x:c>
      <x:c r="H77" s="529" t="str">
        <x:v>Texte de la feuille · AH37</x:v>
      </x:c>
      <x:c r="I77" s="529" t="str">
        <x:v>Texte de la feuille · AH37</x:v>
      </x:c>
      <x:c r="J77" s="529" t="str">
        <x:v>Texte de la feuille · AH37</x:v>
      </x:c>
      <x:c r="K77" s="529" t="str">
        <x:v>Texte de la feuille · AH37</x:v>
      </x:c>
      <x:c r="L77" s="529" t="str">
        <x:v>Texte de la feuille · AH37</x:v>
      </x:c>
      <x:c r="M77" s="529" t="str">
        <x:v>Texte de la feuille · AH37</x:v>
      </x:c>
    </x:row>
    <x:row r="78" ht="41.599998474121094" customHeight="1">
      <x:c r="A78" s="498"/>
      <x:c r="B78" s="508" t="str">
        <x:v>Les simulations par défaut représentent des abeilles peu résistantes aux varroas ; vous pouvez personnaliser cette résistance dans la cellule AH49.</x:v>
      </x:c>
      <x:c r="C78" s="508" t="str">
        <x:v>Les simulations par défaut représentent des abeilles peu résistantes aux varroas ; vous pouvez personnaliser cette résistance dans la cellule AH49.</x:v>
      </x:c>
      <x:c r="D78" s="508" t="str">
        <x:v>Les simulations par défaut représentent des abeilles peu résistantes aux varroas ; vous pouvez personnaliser cette résistance dans la cellule AH49.</x:v>
      </x:c>
      <x:c r="E78" s="508" t="str">
        <x:v>Les simulations par défaut représentent des abeilles peu résistantes aux varroas ; vous pouvez personnaliser cette résistance dans la cellule AH49.</x:v>
      </x:c>
      <x:c r="F78" s="508" t="str">
        <x:v>Les simulations par défaut représentent des abeilles peu résistantes aux varroas ; vous pouvez personnaliser cette résistance dans la cellule AH49.</x:v>
      </x:c>
      <x:c r="G78" s="508" t="str">
        <x:v>Les simulations par défaut représentent des abeilles peu résistantes aux varroas ; vous pouvez personnaliser cette résistance dans la cellule AH49.</x:v>
      </x:c>
      <x:c r="H78" s="508" t="str">
        <x:v>Les simulations par défaut représentent des abeilles peu résistantes aux varroas ; vous pouvez personnaliser cette résistance dans la cellule AH49.</x:v>
      </x:c>
      <x:c r="I78" s="508" t="str">
        <x:v>Les simulations par défaut représentent des abeilles peu résistantes aux varroas ; vous pouvez personnaliser cette résistance dans la cellule AH49.</x:v>
      </x:c>
      <x:c r="J78" s="508" t="str">
        <x:v>Les simulations par défaut représentent des abeilles peu résistantes aux varroas ; vous pouvez personnaliser cette résistance dans la cellule AH49.</x:v>
      </x:c>
      <x:c r="K78" s="508" t="str">
        <x:v>Les simulations par défaut représentent des abeilles peu résistantes aux varroas ; vous pouvez personnaliser cette résistance dans la cellule AH49.</x:v>
      </x:c>
      <x:c r="L78" s="508" t="str">
        <x:v>Les simulations par défaut représentent des abeilles peu résistantes aux varroas ; vous pouvez personnaliser cette résistance dans la cellule AH49.</x:v>
      </x:c>
      <x:c r="M78" s="508" t="str">
        <x:v>Les simulations par défaut représentent des abeilles peu résistantes aux varroas ; vous pouvez personnaliser cette résistance dans la cellule AH49.</x:v>
      </x:c>
    </x:row>
    <x:row r="79" ht="18" customHeight="1">
      <x:c r="A79" s="498"/>
      <x:c r="B79" s="498"/>
      <x:c r="C79" s="498"/>
      <x:c r="D79" s="498"/>
      <x:c r="E79" s="498"/>
      <x:c r="F79" s="498"/>
      <x:c r="G79" s="498"/>
      <x:c r="H79" s="498"/>
      <x:c r="I79" s="498"/>
      <x:c r="J79" s="498"/>
      <x:c r="K79" s="498"/>
      <x:c r="L79" s="498"/>
      <x:c r="M79" s="498"/>
    </x:row>
    <x:row r="80" ht="18" customHeight="1">
      <x:c r="A80" s="498"/>
      <x:c r="B80" s="529" t="str">
        <x:v>Texte de la feuille · AH38</x:v>
      </x:c>
      <x:c r="C80" s="529" t="str">
        <x:v>Texte de la feuille · AH38</x:v>
      </x:c>
      <x:c r="D80" s="529" t="str">
        <x:v>Texte de la feuille · AH38</x:v>
      </x:c>
      <x:c r="E80" s="529" t="str">
        <x:v>Texte de la feuille · AH38</x:v>
      </x:c>
      <x:c r="F80" s="529" t="str">
        <x:v>Texte de la feuille · AH38</x:v>
      </x:c>
      <x:c r="G80" s="529" t="str">
        <x:v>Texte de la feuille · AH38</x:v>
      </x:c>
      <x:c r="H80" s="529" t="str">
        <x:v>Texte de la feuille · AH38</x:v>
      </x:c>
      <x:c r="I80" s="529" t="str">
        <x:v>Texte de la feuille · AH38</x:v>
      </x:c>
      <x:c r="J80" s="529" t="str">
        <x:v>Texte de la feuille · AH38</x:v>
      </x:c>
      <x:c r="K80" s="529" t="str">
        <x:v>Texte de la feuille · AH38</x:v>
      </x:c>
      <x:c r="L80" s="529" t="str">
        <x:v>Texte de la feuille · AH38</x:v>
      </x:c>
      <x:c r="M80" s="529" t="str">
        <x:v>Texte de la feuille · AH38</x:v>
      </x:c>
    </x:row>
    <x:row r="81" ht="56.400001525878906" customHeight="1">
      <x:c r="A81" s="498"/>
      <x:c r="B81" s="508" t="str">
        <x:v>(UTILISATEURS AVANCÉS UNIQUEMENT) Variables de reproduction des varroas et de résistance des abeilles : les variables suivantes sont des déterminants essentiels de la réussite reproductive des varroas et des caractères de résistance des abeilles.</x:v>
      </x:c>
      <x:c r="C81" s="508" t="str">
        <x:v>(UTILISATEURS AVANCÉS UNIQUEMENT) Variables de reproduction des varroas et de résistance des abeilles : les variables suivantes sont des déterminants essentiels de la réussite reproductive des varroas et des caractères de résistance des abeilles.</x:v>
      </x:c>
      <x:c r="D81" s="508" t="str">
        <x:v>(UTILISATEURS AVANCÉS UNIQUEMENT) Variables de reproduction des varroas et de résistance des abeilles : les variables suivantes sont des déterminants essentiels de la réussite reproductive des varroas et des caractères de résistance des abeilles.</x:v>
      </x:c>
      <x:c r="E81" s="508" t="str">
        <x:v>(UTILISATEURS AVANCÉS UNIQUEMENT) Variables de reproduction des varroas et de résistance des abeilles : les variables suivantes sont des déterminants essentiels de la réussite reproductive des varroas et des caractères de résistance des abeilles.</x:v>
      </x:c>
      <x:c r="F81" s="508" t="str">
        <x:v>(UTILISATEURS AVANCÉS UNIQUEMENT) Variables de reproduction des varroas et de résistance des abeilles : les variables suivantes sont des déterminants essentiels de la réussite reproductive des varroas et des caractères de résistance des abeilles.</x:v>
      </x:c>
      <x:c r="G81" s="508" t="str">
        <x:v>(UTILISATEURS AVANCÉS UNIQUEMENT) Variables de reproduction des varroas et de résistance des abeilles : les variables suivantes sont des déterminants essentiels de la réussite reproductive des varroas et des caractères de résistance des abeilles.</x:v>
      </x:c>
      <x:c r="H81" s="508" t="str">
        <x:v>(UTILISATEURS AVANCÉS UNIQUEMENT) Variables de reproduction des varroas et de résistance des abeilles : les variables suivantes sont des déterminants essentiels de la réussite reproductive des varroas et des caractères de résistance des abeilles.</x:v>
      </x:c>
      <x:c r="I81" s="508" t="str">
        <x:v>(UTILISATEURS AVANCÉS UNIQUEMENT) Variables de reproduction des varroas et de résistance des abeilles : les variables suivantes sont des déterminants essentiels de la réussite reproductive des varroas et des caractères de résistance des abeilles.</x:v>
      </x:c>
      <x:c r="J81" s="508" t="str">
        <x:v>(UTILISATEURS AVANCÉS UNIQUEMENT) Variables de reproduction des varroas et de résistance des abeilles : les variables suivantes sont des déterminants essentiels de la réussite reproductive des varroas et des caractères de résistance des abeilles.</x:v>
      </x:c>
      <x:c r="K81" s="508" t="str">
        <x:v>(UTILISATEURS AVANCÉS UNIQUEMENT) Variables de reproduction des varroas et de résistance des abeilles : les variables suivantes sont des déterminants essentiels de la réussite reproductive des varroas et des caractères de résistance des abeilles.</x:v>
      </x:c>
      <x:c r="L81" s="508" t="str">
        <x:v>(UTILISATEURS AVANCÉS UNIQUEMENT) Variables de reproduction des varroas et de résistance des abeilles : les variables suivantes sont des déterminants essentiels de la réussite reproductive des varroas et des caractères de résistance des abeilles.</x:v>
      </x:c>
      <x:c r="M81" s="508" t="str">
        <x:v>(UTILISATEURS AVANCÉS UNIQUEMENT) Variables de reproduction des varroas et de résistance des abeilles : les variables suivantes sont des déterminants essentiels de la réussite reproductive des varroas et des caractères de résistance des abeilles.</x:v>
      </x:c>
    </x:row>
    <x:row r="82" ht="18" customHeight="1">
      <x:c r="A82" s="498"/>
      <x:c r="B82" s="498"/>
      <x:c r="C82" s="498"/>
      <x:c r="D82" s="498"/>
      <x:c r="E82" s="498"/>
      <x:c r="F82" s="498"/>
      <x:c r="G82" s="498"/>
      <x:c r="H82" s="498"/>
      <x:c r="I82" s="498"/>
      <x:c r="J82" s="498"/>
      <x:c r="K82" s="498"/>
      <x:c r="L82" s="498"/>
      <x:c r="M82" s="498"/>
    </x:row>
    <x:row r="83" ht="18" customHeight="1">
      <x:c r="A83" s="498"/>
      <x:c r="B83" s="529" t="str">
        <x:v>Texte de la feuille · AJ39</x:v>
      </x:c>
      <x:c r="C83" s="529" t="str">
        <x:v>Texte de la feuille · AJ39</x:v>
      </x:c>
      <x:c r="D83" s="529" t="str">
        <x:v>Texte de la feuille · AJ39</x:v>
      </x:c>
      <x:c r="E83" s="529" t="str">
        <x:v>Texte de la feuille · AJ39</x:v>
      </x:c>
      <x:c r="F83" s="529" t="str">
        <x:v>Texte de la feuille · AJ39</x:v>
      </x:c>
      <x:c r="G83" s="529" t="str">
        <x:v>Texte de la feuille · AJ39</x:v>
      </x:c>
      <x:c r="H83" s="529" t="str">
        <x:v>Texte de la feuille · AJ39</x:v>
      </x:c>
      <x:c r="I83" s="529" t="str">
        <x:v>Texte de la feuille · AJ39</x:v>
      </x:c>
      <x:c r="J83" s="529" t="str">
        <x:v>Texte de la feuille · AJ39</x:v>
      </x:c>
      <x:c r="K83" s="529" t="str">
        <x:v>Texte de la feuille · AJ39</x:v>
      </x:c>
      <x:c r="L83" s="529" t="str">
        <x:v>Texte de la feuille · AJ39</x:v>
      </x:c>
      <x:c r="M83" s="529" t="str">
        <x:v>Texte de la feuille · AJ39</x:v>
      </x:c>
    </x:row>
    <x:row r="84" ht="41.599998474121094" customHeight="1">
      <x:c r="A84" s="498"/>
      <x:c r="B84" s="508" t="str">
        <x:v>Laisser cette case vide pour utiliser les valeurs par défaut en bleu, ou saisir « custom » pour modifier les valeurs des cellules vertes ci-dessous (le V rouge indiquera le changement).</x:v>
      </x:c>
      <x:c r="C84" s="508" t="str">
        <x:v>Laisser cette case vide pour utiliser les valeurs par défaut en bleu, ou saisir « custom » pour modifier les valeurs des cellules vertes ci-dessous (le V rouge indiquera le changement).</x:v>
      </x:c>
      <x:c r="D84" s="508" t="str">
        <x:v>Laisser cette case vide pour utiliser les valeurs par défaut en bleu, ou saisir « custom » pour modifier les valeurs des cellules vertes ci-dessous (le V rouge indiquera le changement).</x:v>
      </x:c>
      <x:c r="E84" s="508" t="str">
        <x:v>Laisser cette case vide pour utiliser les valeurs par défaut en bleu, ou saisir « custom » pour modifier les valeurs des cellules vertes ci-dessous (le V rouge indiquera le changement).</x:v>
      </x:c>
      <x:c r="F84" s="508" t="str">
        <x:v>Laisser cette case vide pour utiliser les valeurs par défaut en bleu, ou saisir « custom » pour modifier les valeurs des cellules vertes ci-dessous (le V rouge indiquera le changement).</x:v>
      </x:c>
      <x:c r="G84" s="508" t="str">
        <x:v>Laisser cette case vide pour utiliser les valeurs par défaut en bleu, ou saisir « custom » pour modifier les valeurs des cellules vertes ci-dessous (le V rouge indiquera le changement).</x:v>
      </x:c>
      <x:c r="H84" s="508" t="str">
        <x:v>Laisser cette case vide pour utiliser les valeurs par défaut en bleu, ou saisir « custom » pour modifier les valeurs des cellules vertes ci-dessous (le V rouge indiquera le changement).</x:v>
      </x:c>
      <x:c r="I84" s="508" t="str">
        <x:v>Laisser cette case vide pour utiliser les valeurs par défaut en bleu, ou saisir « custom » pour modifier les valeurs des cellules vertes ci-dessous (le V rouge indiquera le changement).</x:v>
      </x:c>
      <x:c r="J84" s="508" t="str">
        <x:v>Laisser cette case vide pour utiliser les valeurs par défaut en bleu, ou saisir « custom » pour modifier les valeurs des cellules vertes ci-dessous (le V rouge indiquera le changement).</x:v>
      </x:c>
      <x:c r="K84" s="508" t="str">
        <x:v>Laisser cette case vide pour utiliser les valeurs par défaut en bleu, ou saisir « custom » pour modifier les valeurs des cellules vertes ci-dessous (le V rouge indiquera le changement).</x:v>
      </x:c>
      <x:c r="L84" s="508" t="str">
        <x:v>Laisser cette case vide pour utiliser les valeurs par défaut en bleu, ou saisir « custom » pour modifier les valeurs des cellules vertes ci-dessous (le V rouge indiquera le changement).</x:v>
      </x:c>
      <x:c r="M84" s="508" t="str">
        <x:v>Laisser cette case vide pour utiliser les valeurs par défaut en bleu, ou saisir « custom » pour modifier les valeurs des cellules vertes ci-dessous (le V rouge indiquera le changement).</x:v>
      </x:c>
    </x:row>
    <x:row r="85" ht="18" customHeight="1">
      <x:c r="A85" s="498"/>
      <x:c r="B85" s="498"/>
      <x:c r="C85" s="498"/>
      <x:c r="D85" s="498"/>
      <x:c r="E85" s="498"/>
      <x:c r="F85" s="498"/>
      <x:c r="G85" s="498"/>
      <x:c r="H85" s="498"/>
      <x:c r="I85" s="498"/>
      <x:c r="J85" s="498"/>
      <x:c r="K85" s="498"/>
      <x:c r="L85" s="498"/>
      <x:c r="M85" s="498"/>
    </x:row>
    <x:row r="86" ht="18" customHeight="1">
      <x:c r="A86" s="498"/>
      <x:c r="B86" s="529" t="str">
        <x:v>Texte de la feuille · BX39</x:v>
      </x:c>
      <x:c r="C86" s="529" t="str">
        <x:v>Texte de la feuille · BX39</x:v>
      </x:c>
      <x:c r="D86" s="529" t="str">
        <x:v>Texte de la feuille · BX39</x:v>
      </x:c>
      <x:c r="E86" s="529" t="str">
        <x:v>Texte de la feuille · BX39</x:v>
      </x:c>
      <x:c r="F86" s="529" t="str">
        <x:v>Texte de la feuille · BX39</x:v>
      </x:c>
      <x:c r="G86" s="529" t="str">
        <x:v>Texte de la feuille · BX39</x:v>
      </x:c>
      <x:c r="H86" s="529" t="str">
        <x:v>Texte de la feuille · BX39</x:v>
      </x:c>
      <x:c r="I86" s="529" t="str">
        <x:v>Texte de la feuille · BX39</x:v>
      </x:c>
      <x:c r="J86" s="529" t="str">
        <x:v>Texte de la feuille · BX39</x:v>
      </x:c>
      <x:c r="K86" s="529" t="str">
        <x:v>Texte de la feuille · BX39</x:v>
      </x:c>
      <x:c r="L86" s="529" t="str">
        <x:v>Texte de la feuille · BX39</x:v>
      </x:c>
      <x:c r="M86" s="529" t="str">
        <x:v>Texte de la feuille · BX39</x:v>
      </x:c>
    </x:row>
    <x:row r="87" ht="41.599998474121094" customHeight="1">
      <x:c r="A87" s="498"/>
      <x:c r="B87" s="508" t="str">
        <x:v>Taux logarithmique quotidien r de mortalité phorétique pendant l’élevage du couvain. Ne pas modifier cette cellule. Voir Andino 2011, Oliver, données non publiées</x:v>
      </x:c>
      <x:c r="C87" s="508" t="str">
        <x:v>Taux logarithmique quotidien r de mortalité phorétique pendant l’élevage du couvain. Ne pas modifier cette cellule. Voir Andino 2011, Oliver, données non publiées</x:v>
      </x:c>
      <x:c r="D87" s="508" t="str">
        <x:v>Taux logarithmique quotidien r de mortalité phorétique pendant l’élevage du couvain. Ne pas modifier cette cellule. Voir Andino 2011, Oliver, données non publiées</x:v>
      </x:c>
      <x:c r="E87" s="508" t="str">
        <x:v>Taux logarithmique quotidien r de mortalité phorétique pendant l’élevage du couvain. Ne pas modifier cette cellule. Voir Andino 2011, Oliver, données non publiées</x:v>
      </x:c>
      <x:c r="F87" s="508" t="str">
        <x:v>Taux logarithmique quotidien r de mortalité phorétique pendant l’élevage du couvain. Ne pas modifier cette cellule. Voir Andino 2011, Oliver, données non publiées</x:v>
      </x:c>
      <x:c r="G87" s="508" t="str">
        <x:v>Taux logarithmique quotidien r de mortalité phorétique pendant l’élevage du couvain. Ne pas modifier cette cellule. Voir Andino 2011, Oliver, données non publiées</x:v>
      </x:c>
      <x:c r="H87" s="508" t="str">
        <x:v>Taux logarithmique quotidien r de mortalité phorétique pendant l’élevage du couvain. Ne pas modifier cette cellule. Voir Andino 2011, Oliver, données non publiées</x:v>
      </x:c>
      <x:c r="I87" s="508" t="str">
        <x:v>Taux logarithmique quotidien r de mortalité phorétique pendant l’élevage du couvain. Ne pas modifier cette cellule. Voir Andino 2011, Oliver, données non publiées</x:v>
      </x:c>
      <x:c r="J87" s="508" t="str">
        <x:v>Taux logarithmique quotidien r de mortalité phorétique pendant l’élevage du couvain. Ne pas modifier cette cellule. Voir Andino 2011, Oliver, données non publiées</x:v>
      </x:c>
      <x:c r="K87" s="508" t="str">
        <x:v>Taux logarithmique quotidien r de mortalité phorétique pendant l’élevage du couvain. Ne pas modifier cette cellule. Voir Andino 2011, Oliver, données non publiées</x:v>
      </x:c>
      <x:c r="L87" s="508" t="str">
        <x:v>Taux logarithmique quotidien r de mortalité phorétique pendant l’élevage du couvain. Ne pas modifier cette cellule. Voir Andino 2011, Oliver, données non publiées</x:v>
      </x:c>
      <x:c r="M87" s="508" t="str">
        <x:v>Taux logarithmique quotidien r de mortalité phorétique pendant l’élevage du couvain. Ne pas modifier cette cellule. Voir Andino 2011, Oliver, données non publiées</x:v>
      </x:c>
    </x:row>
    <x:row r="88" ht="18" customHeight="1">
      <x:c r="A88" s="498"/>
      <x:c r="B88" s="498"/>
      <x:c r="C88" s="498"/>
      <x:c r="D88" s="498"/>
      <x:c r="E88" s="498"/>
      <x:c r="F88" s="498"/>
      <x:c r="G88" s="498"/>
      <x:c r="H88" s="498"/>
      <x:c r="I88" s="498"/>
      <x:c r="J88" s="498"/>
      <x:c r="K88" s="498"/>
      <x:c r="L88" s="498"/>
      <x:c r="M88" s="498"/>
    </x:row>
    <x:row r="89" ht="18" customHeight="1">
      <x:c r="A89" s="498"/>
      <x:c r="B89" s="529" t="str">
        <x:v>Texte de la feuille · BB41</x:v>
      </x:c>
      <x:c r="C89" s="529" t="str">
        <x:v>Texte de la feuille · BB41</x:v>
      </x:c>
      <x:c r="D89" s="529" t="str">
        <x:v>Texte de la feuille · BB41</x:v>
      </x:c>
      <x:c r="E89" s="529" t="str">
        <x:v>Texte de la feuille · BB41</x:v>
      </x:c>
      <x:c r="F89" s="529" t="str">
        <x:v>Texte de la feuille · BB41</x:v>
      </x:c>
      <x:c r="G89" s="529" t="str">
        <x:v>Texte de la feuille · BB41</x:v>
      </x:c>
      <x:c r="H89" s="529" t="str">
        <x:v>Texte de la feuille · BB41</x:v>
      </x:c>
      <x:c r="I89" s="529" t="str">
        <x:v>Texte de la feuille · BB41</x:v>
      </x:c>
      <x:c r="J89" s="529" t="str">
        <x:v>Texte de la feuille · BB41</x:v>
      </x:c>
      <x:c r="K89" s="529" t="str">
        <x:v>Texte de la feuille · BB41</x:v>
      </x:c>
      <x:c r="L89" s="529" t="str">
        <x:v>Texte de la feuille · BB41</x:v>
      </x:c>
      <x:c r="M89" s="529" t="str">
        <x:v>Texte de la feuille · BB41</x:v>
      </x:c>
    </x:row>
    <x:row r="90" ht="56.400001525878906" customHeight="1">
      <x:c r="A90" s="498"/>
      <x:c r="B90" s="508" t="str">
        <x:v> = taux net de reproduction effective (nombre de filles viables et fécondées par fondatrice et par cycle reproductif). Oddie (2017) a trouvé une valeur de 1,24 pour les lignées commerciales et de 0,87 pour les lignées survivantes.</x:v>
      </x:c>
      <x:c r="C90" s="508" t="str">
        <x:v> = taux net de reproduction effective (nombre de filles viables et fécondées par fondatrice et par cycle reproductif). Oddie (2017) a trouvé une valeur de 1,24 pour les lignées commerciales et de 0,87 pour les lignées survivantes.</x:v>
      </x:c>
      <x:c r="D90" s="508" t="str">
        <x:v> = taux net de reproduction effective (nombre de filles viables et fécondées par fondatrice et par cycle reproductif). Oddie (2017) a trouvé une valeur de 1,24 pour les lignées commerciales et de 0,87 pour les lignées survivantes.</x:v>
      </x:c>
      <x:c r="E90" s="508" t="str">
        <x:v> = taux net de reproduction effective (nombre de filles viables et fécondées par fondatrice et par cycle reproductif). Oddie (2017) a trouvé une valeur de 1,24 pour les lignées commerciales et de 0,87 pour les lignées survivantes.</x:v>
      </x:c>
      <x:c r="F90" s="508" t="str">
        <x:v> = taux net de reproduction effective (nombre de filles viables et fécondées par fondatrice et par cycle reproductif). Oddie (2017) a trouvé une valeur de 1,24 pour les lignées commerciales et de 0,87 pour les lignées survivantes.</x:v>
      </x:c>
      <x:c r="G90" s="508" t="str">
        <x:v> = taux net de reproduction effective (nombre de filles viables et fécondées par fondatrice et par cycle reproductif). Oddie (2017) a trouvé une valeur de 1,24 pour les lignées commerciales et de 0,87 pour les lignées survivantes.</x:v>
      </x:c>
      <x:c r="H90" s="508" t="str">
        <x:v> = taux net de reproduction effective (nombre de filles viables et fécondées par fondatrice et par cycle reproductif). Oddie (2017) a trouvé une valeur de 1,24 pour les lignées commerciales et de 0,87 pour les lignées survivantes.</x:v>
      </x:c>
      <x:c r="I90" s="508" t="str">
        <x:v> = taux net de reproduction effective (nombre de filles viables et fécondées par fondatrice et par cycle reproductif). Oddie (2017) a trouvé une valeur de 1,24 pour les lignées commerciales et de 0,87 pour les lignées survivantes.</x:v>
      </x:c>
      <x:c r="J90" s="508" t="str">
        <x:v> = taux net de reproduction effective (nombre de filles viables et fécondées par fondatrice et par cycle reproductif). Oddie (2017) a trouvé une valeur de 1,24 pour les lignées commerciales et de 0,87 pour les lignées survivantes.</x:v>
      </x:c>
      <x:c r="K90" s="508" t="str">
        <x:v> = taux net de reproduction effective (nombre de filles viables et fécondées par fondatrice et par cycle reproductif). Oddie (2017) a trouvé une valeur de 1,24 pour les lignées commerciales et de 0,87 pour les lignées survivantes.</x:v>
      </x:c>
      <x:c r="L90" s="508" t="str">
        <x:v> = taux net de reproduction effective (nombre de filles viables et fécondées par fondatrice et par cycle reproductif). Oddie (2017) a trouvé une valeur de 1,24 pour les lignées commerciales et de 0,87 pour les lignées survivantes.</x:v>
      </x:c>
      <x:c r="M90" s="508" t="str">
        <x:v> = taux net de reproduction effective (nombre de filles viables et fécondées par fondatrice et par cycle reproductif). Oddie (2017) a trouvé une valeur de 1,24 pour les lignées commerciales et de 0,87 pour les lignées survivantes.</x:v>
      </x:c>
    </x:row>
    <x:row r="91" ht="18" customHeight="1">
      <x:c r="A91" s="498"/>
      <x:c r="B91" s="498"/>
      <x:c r="C91" s="498"/>
      <x:c r="D91" s="498"/>
      <x:c r="E91" s="498"/>
      <x:c r="F91" s="498"/>
      <x:c r="G91" s="498"/>
      <x:c r="H91" s="498"/>
      <x:c r="I91" s="498"/>
      <x:c r="J91" s="498"/>
      <x:c r="K91" s="498"/>
      <x:c r="L91" s="498"/>
      <x:c r="M91" s="498"/>
    </x:row>
    <x:row r="92" ht="18" customHeight="1">
      <x:c r="A92" s="498"/>
      <x:c r="B92" s="529" t="str">
        <x:v>Texte de la feuille · AJ45</x:v>
      </x:c>
      <x:c r="C92" s="529" t="str">
        <x:v>Texte de la feuille · AJ45</x:v>
      </x:c>
      <x:c r="D92" s="529" t="str">
        <x:v>Texte de la feuille · AJ45</x:v>
      </x:c>
      <x:c r="E92" s="529" t="str">
        <x:v>Texte de la feuille · AJ45</x:v>
      </x:c>
      <x:c r="F92" s="529" t="str">
        <x:v>Texte de la feuille · AJ45</x:v>
      </x:c>
      <x:c r="G92" s="529" t="str">
        <x:v>Texte de la feuille · AJ45</x:v>
      </x:c>
      <x:c r="H92" s="529" t="str">
        <x:v>Texte de la feuille · AJ45</x:v>
      </x:c>
      <x:c r="I92" s="529" t="str">
        <x:v>Texte de la feuille · AJ45</x:v>
      </x:c>
      <x:c r="J92" s="529" t="str">
        <x:v>Texte de la feuille · AJ45</x:v>
      </x:c>
      <x:c r="K92" s="529" t="str">
        <x:v>Texte de la feuille · AJ45</x:v>
      </x:c>
      <x:c r="L92" s="529" t="str">
        <x:v>Texte de la feuille · AJ45</x:v>
      </x:c>
      <x:c r="M92" s="529" t="str">
        <x:v>Texte de la feuille · AJ45</x:v>
      </x:c>
    </x:row>
    <x:row r="93" ht="41.599998474121094" customHeight="1">
      <x:c r="A93" s="498"/>
      <x:c r="B93" s="508" t="str">
        <x:v>Mortalité de base des varroas par jour sans couvain (habituellement environ 0,005 ; abeilles à longue durée de vie). La mortalité quotidienne peut être influencée par l’intensité du comportement de toilettage.</x:v>
      </x:c>
      <x:c r="C93" s="508" t="str">
        <x:v>Mortalité de base des varroas par jour sans couvain (habituellement environ 0,005 ; abeilles à longue durée de vie). La mortalité quotidienne peut être influencée par l’intensité du comportement de toilettage.</x:v>
      </x:c>
      <x:c r="D93" s="508" t="str">
        <x:v>Mortalité de base des varroas par jour sans couvain (habituellement environ 0,005 ; abeilles à longue durée de vie). La mortalité quotidienne peut être influencée par l’intensité du comportement de toilettage.</x:v>
      </x:c>
      <x:c r="E93" s="508" t="str">
        <x:v>Mortalité de base des varroas par jour sans couvain (habituellement environ 0,005 ; abeilles à longue durée de vie). La mortalité quotidienne peut être influencée par l’intensité du comportement de toilettage.</x:v>
      </x:c>
      <x:c r="F93" s="508" t="str">
        <x:v>Mortalité de base des varroas par jour sans couvain (habituellement environ 0,005 ; abeilles à longue durée de vie). La mortalité quotidienne peut être influencée par l’intensité du comportement de toilettage.</x:v>
      </x:c>
      <x:c r="G93" s="508" t="str">
        <x:v>Mortalité de base des varroas par jour sans couvain (habituellement environ 0,005 ; abeilles à longue durée de vie). La mortalité quotidienne peut être influencée par l’intensité du comportement de toilettage.</x:v>
      </x:c>
      <x:c r="H93" s="508" t="str">
        <x:v>Mortalité de base des varroas par jour sans couvain (habituellement environ 0,005 ; abeilles à longue durée de vie). La mortalité quotidienne peut être influencée par l’intensité du comportement de toilettage.</x:v>
      </x:c>
      <x:c r="I93" s="508" t="str">
        <x:v>Mortalité de base des varroas par jour sans couvain (habituellement environ 0,005 ; abeilles à longue durée de vie). La mortalité quotidienne peut être influencée par l’intensité du comportement de toilettage.</x:v>
      </x:c>
      <x:c r="J93" s="508" t="str">
        <x:v>Mortalité de base des varroas par jour sans couvain (habituellement environ 0,005 ; abeilles à longue durée de vie). La mortalité quotidienne peut être influencée par l’intensité du comportement de toilettage.</x:v>
      </x:c>
      <x:c r="K93" s="508" t="str">
        <x:v>Mortalité de base des varroas par jour sans couvain (habituellement environ 0,005 ; abeilles à longue durée de vie). La mortalité quotidienne peut être influencée par l’intensité du comportement de toilettage.</x:v>
      </x:c>
      <x:c r="L93" s="508" t="str">
        <x:v>Mortalité de base des varroas par jour sans couvain (habituellement environ 0,005 ; abeilles à longue durée de vie). La mortalité quotidienne peut être influencée par l’intensité du comportement de toilettage.</x:v>
      </x:c>
      <x:c r="M93" s="508" t="str">
        <x:v>Mortalité de base des varroas par jour sans couvain (habituellement environ 0,005 ; abeilles à longue durée de vie). La mortalité quotidienne peut être influencée par l’intensité du comportement de toilettage.</x:v>
      </x:c>
    </x:row>
    <x:row r="94" ht="18" customHeight="1">
      <x:c r="A94" s="498"/>
      <x:c r="B94" s="498"/>
      <x:c r="C94" s="498"/>
      <x:c r="D94" s="498"/>
      <x:c r="E94" s="498"/>
      <x:c r="F94" s="498"/>
      <x:c r="G94" s="498"/>
      <x:c r="H94" s="498"/>
      <x:c r="I94" s="498"/>
      <x:c r="J94" s="498"/>
      <x:c r="K94" s="498"/>
      <x:c r="L94" s="498"/>
      <x:c r="M94" s="498"/>
    </x:row>
    <x:row r="95" ht="18" customHeight="1">
      <x:c r="A95" s="498"/>
      <x:c r="B95" s="529" t="str">
        <x:v>Texte de la feuille · AJ46</x:v>
      </x:c>
      <x:c r="C95" s="529" t="str">
        <x:v>Texte de la feuille · AJ46</x:v>
      </x:c>
      <x:c r="D95" s="529" t="str">
        <x:v>Texte de la feuille · AJ46</x:v>
      </x:c>
      <x:c r="E95" s="529" t="str">
        <x:v>Texte de la feuille · AJ46</x:v>
      </x:c>
      <x:c r="F95" s="529" t="str">
        <x:v>Texte de la feuille · AJ46</x:v>
      </x:c>
      <x:c r="G95" s="529" t="str">
        <x:v>Texte de la feuille · AJ46</x:v>
      </x:c>
      <x:c r="H95" s="529" t="str">
        <x:v>Texte de la feuille · AJ46</x:v>
      </x:c>
      <x:c r="I95" s="529" t="str">
        <x:v>Texte de la feuille · AJ46</x:v>
      </x:c>
      <x:c r="J95" s="529" t="str">
        <x:v>Texte de la feuille · AJ46</x:v>
      </x:c>
      <x:c r="K95" s="529" t="str">
        <x:v>Texte de la feuille · AJ46</x:v>
      </x:c>
      <x:c r="L95" s="529" t="str">
        <x:v>Texte de la feuille · AJ46</x:v>
      </x:c>
      <x:c r="M95" s="529" t="str">
        <x:v>Texte de la feuille · AJ46</x:v>
      </x:c>
    </x:row>
    <x:row r="96" ht="41.599998474121094" customHeight="1">
      <x:c r="A96" s="498"/>
      <x:c r="B96" s="508" t="str">
        <x:v>Mortalité de base des varroas par jour pendant l’élevage du couvain (grappe défaite). Fortement influencée par le comportement de toilettage.</x:v>
      </x:c>
      <x:c r="C96" s="508" t="str">
        <x:v>Mortalité de base des varroas par jour pendant l’élevage du couvain (grappe défaite). Fortement influencée par le comportement de toilettage.</x:v>
      </x:c>
      <x:c r="D96" s="508" t="str">
        <x:v>Mortalité de base des varroas par jour pendant l’élevage du couvain (grappe défaite). Fortement influencée par le comportement de toilettage.</x:v>
      </x:c>
      <x:c r="E96" s="508" t="str">
        <x:v>Mortalité de base des varroas par jour pendant l’élevage du couvain (grappe défaite). Fortement influencée par le comportement de toilettage.</x:v>
      </x:c>
      <x:c r="F96" s="508" t="str">
        <x:v>Mortalité de base des varroas par jour pendant l’élevage du couvain (grappe défaite). Fortement influencée par le comportement de toilettage.</x:v>
      </x:c>
      <x:c r="G96" s="508" t="str">
        <x:v>Mortalité de base des varroas par jour pendant l’élevage du couvain (grappe défaite). Fortement influencée par le comportement de toilettage.</x:v>
      </x:c>
      <x:c r="H96" s="508" t="str">
        <x:v>Mortalité de base des varroas par jour pendant l’élevage du couvain (grappe défaite). Fortement influencée par le comportement de toilettage.</x:v>
      </x:c>
      <x:c r="I96" s="508" t="str">
        <x:v>Mortalité de base des varroas par jour pendant l’élevage du couvain (grappe défaite). Fortement influencée par le comportement de toilettage.</x:v>
      </x:c>
      <x:c r="J96" s="508" t="str">
        <x:v>Mortalité de base des varroas par jour pendant l’élevage du couvain (grappe défaite). Fortement influencée par le comportement de toilettage.</x:v>
      </x:c>
      <x:c r="K96" s="508" t="str">
        <x:v>Mortalité de base des varroas par jour pendant l’élevage du couvain (grappe défaite). Fortement influencée par le comportement de toilettage.</x:v>
      </x:c>
      <x:c r="L96" s="508" t="str">
        <x:v>Mortalité de base des varroas par jour pendant l’élevage du couvain (grappe défaite). Fortement influencée par le comportement de toilettage.</x:v>
      </x:c>
      <x:c r="M96" s="508" t="str">
        <x:v>Mortalité de base des varroas par jour pendant l’élevage du couvain (grappe défaite). Fortement influencée par le comportement de toilettage.</x:v>
      </x:c>
    </x:row>
    <x:row r="97" ht="18" customHeight="1">
      <x:c r="A97" s="498"/>
      <x:c r="B97" s="498"/>
      <x:c r="C97" s="498"/>
      <x:c r="D97" s="498"/>
      <x:c r="E97" s="498"/>
      <x:c r="F97" s="498"/>
      <x:c r="G97" s="498"/>
      <x:c r="H97" s="498"/>
      <x:c r="I97" s="498"/>
      <x:c r="J97" s="498"/>
      <x:c r="K97" s="498"/>
      <x:c r="L97" s="498"/>
      <x:c r="M97" s="498"/>
    </x:row>
    <x:row r="98" ht="18" customHeight="1">
      <x:c r="A98" s="498"/>
      <x:c r="B98" s="529" t="str">
        <x:v>Texte de la feuille · AJ47</x:v>
      </x:c>
      <x:c r="C98" s="529" t="str">
        <x:v>Texte de la feuille · AJ47</x:v>
      </x:c>
      <x:c r="D98" s="529" t="str">
        <x:v>Texte de la feuille · AJ47</x:v>
      </x:c>
      <x:c r="E98" s="529" t="str">
        <x:v>Texte de la feuille · AJ47</x:v>
      </x:c>
      <x:c r="F98" s="529" t="str">
        <x:v>Texte de la feuille · AJ47</x:v>
      </x:c>
      <x:c r="G98" s="529" t="str">
        <x:v>Texte de la feuille · AJ47</x:v>
      </x:c>
      <x:c r="H98" s="529" t="str">
        <x:v>Texte de la feuille · AJ47</x:v>
      </x:c>
      <x:c r="I98" s="529" t="str">
        <x:v>Texte de la feuille · AJ47</x:v>
      </x:c>
      <x:c r="J98" s="529" t="str">
        <x:v>Texte de la feuille · AJ47</x:v>
      </x:c>
      <x:c r="K98" s="529" t="str">
        <x:v>Texte de la feuille · AJ47</x:v>
      </x:c>
      <x:c r="L98" s="529" t="str">
        <x:v>Texte de la feuille · AJ47</x:v>
      </x:c>
      <x:c r="M98" s="529" t="str">
        <x:v>Texte de la feuille · AJ47</x:v>
      </x:c>
    </x:row>
    <x:row r="99" ht="56.400001525878906" customHeight="1">
      <x:c r="A99" s="498"/>
      <x:c r="B99" s="508" t="str">
        <x:v>Taux d’infestation des abeilles qui ne reviennent pas, rapporté à celui des jeunes ouvrières lorsque l’infestation est faible. Ce facteur a un effet important sur le taux global d’augmentation de la population de varroas !</x:v>
      </x:c>
      <x:c r="C99" s="508" t="str">
        <x:v>Taux d’infestation des abeilles qui ne reviennent pas, rapporté à celui des jeunes ouvrières lorsque l’infestation est faible. Ce facteur a un effet important sur le taux global d’augmentation de la population de varroas !</x:v>
      </x:c>
      <x:c r="D99" s="508" t="str">
        <x:v>Taux d’infestation des abeilles qui ne reviennent pas, rapporté à celui des jeunes ouvrières lorsque l’infestation est faible. Ce facteur a un effet important sur le taux global d’augmentation de la population de varroas !</x:v>
      </x:c>
      <x:c r="E99" s="508" t="str">
        <x:v>Taux d’infestation des abeilles qui ne reviennent pas, rapporté à celui des jeunes ouvrières lorsque l’infestation est faible. Ce facteur a un effet important sur le taux global d’augmentation de la population de varroas !</x:v>
      </x:c>
      <x:c r="F99" s="508" t="str">
        <x:v>Taux d’infestation des abeilles qui ne reviennent pas, rapporté à celui des jeunes ouvrières lorsque l’infestation est faible. Ce facteur a un effet important sur le taux global d’augmentation de la population de varroas !</x:v>
      </x:c>
      <x:c r="G99" s="508" t="str">
        <x:v>Taux d’infestation des abeilles qui ne reviennent pas, rapporté à celui des jeunes ouvrières lorsque l’infestation est faible. Ce facteur a un effet important sur le taux global d’augmentation de la population de varroas !</x:v>
      </x:c>
      <x:c r="H99" s="508" t="str">
        <x:v>Taux d’infestation des abeilles qui ne reviennent pas, rapporté à celui des jeunes ouvrières lorsque l’infestation est faible. Ce facteur a un effet important sur le taux global d’augmentation de la population de varroas !</x:v>
      </x:c>
      <x:c r="I99" s="508" t="str">
        <x:v>Taux d’infestation des abeilles qui ne reviennent pas, rapporté à celui des jeunes ouvrières lorsque l’infestation est faible. Ce facteur a un effet important sur le taux global d’augmentation de la population de varroas !</x:v>
      </x:c>
      <x:c r="J99" s="508" t="str">
        <x:v>Taux d’infestation des abeilles qui ne reviennent pas, rapporté à celui des jeunes ouvrières lorsque l’infestation est faible. Ce facteur a un effet important sur le taux global d’augmentation de la population de varroas !</x:v>
      </x:c>
      <x:c r="K99" s="508" t="str">
        <x:v>Taux d’infestation des abeilles qui ne reviennent pas, rapporté à celui des jeunes ouvrières lorsque l’infestation est faible. Ce facteur a un effet important sur le taux global d’augmentation de la population de varroas !</x:v>
      </x:c>
      <x:c r="L99" s="508" t="str">
        <x:v>Taux d’infestation des abeilles qui ne reviennent pas, rapporté à celui des jeunes ouvrières lorsque l’infestation est faible. Ce facteur a un effet important sur le taux global d’augmentation de la population de varroas !</x:v>
      </x:c>
      <x:c r="M99" s="508" t="str">
        <x:v>Taux d’infestation des abeilles qui ne reviennent pas, rapporté à celui des jeunes ouvrières lorsque l’infestation est faible. Ce facteur a un effet important sur le taux global d’augmentation de la population de varroas !</x:v>
      </x:c>
    </x:row>
    <x:row r="100" ht="18" customHeight="1">
      <x:c r="A100" s="498"/>
      <x:c r="B100" s="498"/>
      <x:c r="C100" s="498"/>
      <x:c r="D100" s="498"/>
      <x:c r="E100" s="498"/>
      <x:c r="F100" s="498"/>
      <x:c r="G100" s="498"/>
      <x:c r="H100" s="498"/>
      <x:c r="I100" s="498"/>
      <x:c r="J100" s="498"/>
      <x:c r="K100" s="498"/>
      <x:c r="L100" s="498"/>
      <x:c r="M100" s="498"/>
    </x:row>
    <x:row r="101" ht="18" customHeight="1">
      <x:c r="A101" s="498"/>
      <x:c r="B101" s="529" t="str">
        <x:v>Texte de la feuille · AJ48</x:v>
      </x:c>
      <x:c r="C101" s="529" t="str">
        <x:v>Texte de la feuille · AJ48</x:v>
      </x:c>
      <x:c r="D101" s="529" t="str">
        <x:v>Texte de la feuille · AJ48</x:v>
      </x:c>
      <x:c r="E101" s="529" t="str">
        <x:v>Texte de la feuille · AJ48</x:v>
      </x:c>
      <x:c r="F101" s="529" t="str">
        <x:v>Texte de la feuille · AJ48</x:v>
      </x:c>
      <x:c r="G101" s="529" t="str">
        <x:v>Texte de la feuille · AJ48</x:v>
      </x:c>
      <x:c r="H101" s="529" t="str">
        <x:v>Texte de la feuille · AJ48</x:v>
      </x:c>
      <x:c r="I101" s="529" t="str">
        <x:v>Texte de la feuille · AJ48</x:v>
      </x:c>
      <x:c r="J101" s="529" t="str">
        <x:v>Texte de la feuille · AJ48</x:v>
      </x:c>
      <x:c r="K101" s="529" t="str">
        <x:v>Texte de la feuille · AJ48</x:v>
      </x:c>
      <x:c r="L101" s="529" t="str">
        <x:v>Texte de la feuille · AJ48</x:v>
      </x:c>
      <x:c r="M101" s="529" t="str">
        <x:v>Texte de la feuille · AJ48</x:v>
      </x:c>
    </x:row>
    <x:row r="102" ht="41.599998474121094" customHeight="1">
      <x:c r="A102" s="498"/>
      <x:c r="B102" s="508" t="str">
        <x:v>Facteur d’augmentation du taux d’invasion des cellules de mâles (d’après Boot). Il est peut-être surestimé, d’après mes dissections de cadres pièges à couvain de mâles en avril.</x:v>
      </x:c>
      <x:c r="C102" s="508" t="str">
        <x:v>Facteur d’augmentation du taux d’invasion des cellules de mâles (d’après Boot). Il est peut-être surestimé, d’après mes dissections de cadres pièges à couvain de mâles en avril.</x:v>
      </x:c>
      <x:c r="D102" s="508" t="str">
        <x:v>Facteur d’augmentation du taux d’invasion des cellules de mâles (d’après Boot). Il est peut-être surestimé, d’après mes dissections de cadres pièges à couvain de mâles en avril.</x:v>
      </x:c>
      <x:c r="E102" s="508" t="str">
        <x:v>Facteur d’augmentation du taux d’invasion des cellules de mâles (d’après Boot). Il est peut-être surestimé, d’après mes dissections de cadres pièges à couvain de mâles en avril.</x:v>
      </x:c>
      <x:c r="F102" s="508" t="str">
        <x:v>Facteur d’augmentation du taux d’invasion des cellules de mâles (d’après Boot). Il est peut-être surestimé, d’après mes dissections de cadres pièges à couvain de mâles en avril.</x:v>
      </x:c>
      <x:c r="G102" s="508" t="str">
        <x:v>Facteur d’augmentation du taux d’invasion des cellules de mâles (d’après Boot). Il est peut-être surestimé, d’après mes dissections de cadres pièges à couvain de mâles en avril.</x:v>
      </x:c>
      <x:c r="H102" s="508" t="str">
        <x:v>Facteur d’augmentation du taux d’invasion des cellules de mâles (d’après Boot). Il est peut-être surestimé, d’après mes dissections de cadres pièges à couvain de mâles en avril.</x:v>
      </x:c>
      <x:c r="I102" s="508" t="str">
        <x:v>Facteur d’augmentation du taux d’invasion des cellules de mâles (d’après Boot). Il est peut-être surestimé, d’après mes dissections de cadres pièges à couvain de mâles en avril.</x:v>
      </x:c>
      <x:c r="J102" s="508" t="str">
        <x:v>Facteur d’augmentation du taux d’invasion des cellules de mâles (d’après Boot). Il est peut-être surestimé, d’après mes dissections de cadres pièges à couvain de mâles en avril.</x:v>
      </x:c>
      <x:c r="K102" s="508" t="str">
        <x:v>Facteur d’augmentation du taux d’invasion des cellules de mâles (d’après Boot). Il est peut-être surestimé, d’après mes dissections de cadres pièges à couvain de mâles en avril.</x:v>
      </x:c>
      <x:c r="L102" s="508" t="str">
        <x:v>Facteur d’augmentation du taux d’invasion des cellules de mâles (d’après Boot). Il est peut-être surestimé, d’après mes dissections de cadres pièges à couvain de mâles en avril.</x:v>
      </x:c>
      <x:c r="M102" s="508" t="str">
        <x:v>Facteur d’augmentation du taux d’invasion des cellules de mâles (d’après Boot). Il est peut-être surestimé, d’après mes dissections de cadres pièges à couvain de mâles en avril.</x:v>
      </x:c>
    </x:row>
    <x:row r="103" ht="18" customHeight="1">
      <x:c r="A103" s="498"/>
      <x:c r="B103" s="498"/>
      <x:c r="C103" s="498"/>
      <x:c r="D103" s="498"/>
      <x:c r="E103" s="498"/>
      <x:c r="F103" s="498"/>
      <x:c r="G103" s="498"/>
      <x:c r="H103" s="498"/>
      <x:c r="I103" s="498"/>
      <x:c r="J103" s="498"/>
      <x:c r="K103" s="498"/>
      <x:c r="L103" s="498"/>
      <x:c r="M103" s="498"/>
    </x:row>
    <x:row r="104" ht="18" customHeight="1">
      <x:c r="A104" s="498"/>
      <x:c r="B104" s="529" t="str">
        <x:v>Texte de la feuille · AJ49</x:v>
      </x:c>
      <x:c r="C104" s="529" t="str">
        <x:v>Texte de la feuille · AJ49</x:v>
      </x:c>
      <x:c r="D104" s="529" t="str">
        <x:v>Texte de la feuille · AJ49</x:v>
      </x:c>
      <x:c r="E104" s="529" t="str">
        <x:v>Texte de la feuille · AJ49</x:v>
      </x:c>
      <x:c r="F104" s="529" t="str">
        <x:v>Texte de la feuille · AJ49</x:v>
      </x:c>
      <x:c r="G104" s="529" t="str">
        <x:v>Texte de la feuille · AJ49</x:v>
      </x:c>
      <x:c r="H104" s="529" t="str">
        <x:v>Texte de la feuille · AJ49</x:v>
      </x:c>
      <x:c r="I104" s="529" t="str">
        <x:v>Texte de la feuille · AJ49</x:v>
      </x:c>
      <x:c r="J104" s="529" t="str">
        <x:v>Texte de la feuille · AJ49</x:v>
      </x:c>
      <x:c r="K104" s="529" t="str">
        <x:v>Texte de la feuille · AJ49</x:v>
      </x:c>
      <x:c r="L104" s="529" t="str">
        <x:v>Texte de la feuille · AJ49</x:v>
      </x:c>
      <x:c r="M104" s="529" t="str">
        <x:v>Texte de la feuille · AJ49</x:v>
      </x:c>
    </x:row>
    <x:row r="105" ht="41.599998474121094" customHeight="1">
      <x:c r="A105" s="498"/>
      <x:c r="B105" s="508" t="str">
        <x:v>Constante de l’équation du taux d’invasion des cellules : une augmentation ajoute un jour à la période phorétique du varroa et diminue la valeur de r ; voir →</x:v>
      </x:c>
      <x:c r="C105" s="508" t="str">
        <x:v>Constante de l’équation du taux d’invasion des cellules : une augmentation ajoute un jour à la période phorétique du varroa et diminue la valeur de r ; voir →</x:v>
      </x:c>
      <x:c r="D105" s="508" t="str">
        <x:v>Constante de l’équation du taux d’invasion des cellules : une augmentation ajoute un jour à la période phorétique du varroa et diminue la valeur de r ; voir →</x:v>
      </x:c>
      <x:c r="E105" s="508" t="str">
        <x:v>Constante de l’équation du taux d’invasion des cellules : une augmentation ajoute un jour à la période phorétique du varroa et diminue la valeur de r ; voir →</x:v>
      </x:c>
      <x:c r="F105" s="508" t="str">
        <x:v>Constante de l’équation du taux d’invasion des cellules : une augmentation ajoute un jour à la période phorétique du varroa et diminue la valeur de r ; voir →</x:v>
      </x:c>
      <x:c r="G105" s="508" t="str">
        <x:v>Constante de l’équation du taux d’invasion des cellules : une augmentation ajoute un jour à la période phorétique du varroa et diminue la valeur de r ; voir →</x:v>
      </x:c>
      <x:c r="H105" s="508" t="str">
        <x:v>Constante de l’équation du taux d’invasion des cellules : une augmentation ajoute un jour à la période phorétique du varroa et diminue la valeur de r ; voir →</x:v>
      </x:c>
      <x:c r="I105" s="508" t="str">
        <x:v>Constante de l’équation du taux d’invasion des cellules : une augmentation ajoute un jour à la période phorétique du varroa et diminue la valeur de r ; voir →</x:v>
      </x:c>
      <x:c r="J105" s="508" t="str">
        <x:v>Constante de l’équation du taux d’invasion des cellules : une augmentation ajoute un jour à la période phorétique du varroa et diminue la valeur de r ; voir →</x:v>
      </x:c>
      <x:c r="K105" s="508" t="str">
        <x:v>Constante de l’équation du taux d’invasion des cellules : une augmentation ajoute un jour à la période phorétique du varroa et diminue la valeur de r ; voir →</x:v>
      </x:c>
      <x:c r="L105" s="508" t="str">
        <x:v>Constante de l’équation du taux d’invasion des cellules : une augmentation ajoute un jour à la période phorétique du varroa et diminue la valeur de r ; voir →</x:v>
      </x:c>
      <x:c r="M105" s="508" t="str">
        <x:v>Constante de l’équation du taux d’invasion des cellules : une augmentation ajoute un jour à la période phorétique du varroa et diminue la valeur de r ; voir →</x:v>
      </x:c>
    </x:row>
    <x:row r="106" ht="18" customHeight="1">
      <x:c r="A106" s="498"/>
      <x:c r="B106" s="498"/>
      <x:c r="C106" s="498"/>
      <x:c r="D106" s="498"/>
      <x:c r="E106" s="498"/>
      <x:c r="F106" s="498"/>
      <x:c r="G106" s="498"/>
      <x:c r="H106" s="498"/>
      <x:c r="I106" s="498"/>
      <x:c r="J106" s="498"/>
      <x:c r="K106" s="498"/>
      <x:c r="L106" s="498"/>
      <x:c r="M106" s="498"/>
    </x:row>
    <x:row r="107" ht="18" customHeight="1">
      <x:c r="A107" s="498"/>
      <x:c r="B107" s="529" t="str">
        <x:v>Texte de la feuille · AJ50</x:v>
      </x:c>
      <x:c r="C107" s="529" t="str">
        <x:v>Texte de la feuille · AJ50</x:v>
      </x:c>
      <x:c r="D107" s="529" t="str">
        <x:v>Texte de la feuille · AJ50</x:v>
      </x:c>
      <x:c r="E107" s="529" t="str">
        <x:v>Texte de la feuille · AJ50</x:v>
      </x:c>
      <x:c r="F107" s="529" t="str">
        <x:v>Texte de la feuille · AJ50</x:v>
      </x:c>
      <x:c r="G107" s="529" t="str">
        <x:v>Texte de la feuille · AJ50</x:v>
      </x:c>
      <x:c r="H107" s="529" t="str">
        <x:v>Texte de la feuille · AJ50</x:v>
      </x:c>
      <x:c r="I107" s="529" t="str">
        <x:v>Texte de la feuille · AJ50</x:v>
      </x:c>
      <x:c r="J107" s="529" t="str">
        <x:v>Texte de la feuille · AJ50</x:v>
      </x:c>
      <x:c r="K107" s="529" t="str">
        <x:v>Texte de la feuille · AJ50</x:v>
      </x:c>
      <x:c r="L107" s="529" t="str">
        <x:v>Texte de la feuille · AJ50</x:v>
      </x:c>
      <x:c r="M107" s="529" t="str">
        <x:v>Texte de la feuille · AJ50</x:v>
      </x:c>
    </x:row>
    <x:row r="108" ht="41.599998474121094" customHeight="1">
      <x:c r="A108" s="498"/>
      <x:c r="B108" s="508" t="str">
        <x:v>Pourcentage de réduction de la réussite reproductive des fondatrices dû aux comportements de désoperculation et de VSH. Une réduction de 50 % confère une forte résistance.</x:v>
      </x:c>
      <x:c r="C108" s="508" t="str">
        <x:v>Pourcentage de réduction de la réussite reproductive des fondatrices dû aux comportements de désoperculation et de VSH. Une réduction de 50 % confère une forte résistance.</x:v>
      </x:c>
      <x:c r="D108" s="508" t="str">
        <x:v>Pourcentage de réduction de la réussite reproductive des fondatrices dû aux comportements de désoperculation et de VSH. Une réduction de 50 % confère une forte résistance.</x:v>
      </x:c>
      <x:c r="E108" s="508" t="str">
        <x:v>Pourcentage de réduction de la réussite reproductive des fondatrices dû aux comportements de désoperculation et de VSH. Une réduction de 50 % confère une forte résistance.</x:v>
      </x:c>
      <x:c r="F108" s="508" t="str">
        <x:v>Pourcentage de réduction de la réussite reproductive des fondatrices dû aux comportements de désoperculation et de VSH. Une réduction de 50 % confère une forte résistance.</x:v>
      </x:c>
      <x:c r="G108" s="508" t="str">
        <x:v>Pourcentage de réduction de la réussite reproductive des fondatrices dû aux comportements de désoperculation et de VSH. Une réduction de 50 % confère une forte résistance.</x:v>
      </x:c>
      <x:c r="H108" s="508" t="str">
        <x:v>Pourcentage de réduction de la réussite reproductive des fondatrices dû aux comportements de désoperculation et de VSH. Une réduction de 50 % confère une forte résistance.</x:v>
      </x:c>
      <x:c r="I108" s="508" t="str">
        <x:v>Pourcentage de réduction de la réussite reproductive des fondatrices dû aux comportements de désoperculation et de VSH. Une réduction de 50 % confère une forte résistance.</x:v>
      </x:c>
      <x:c r="J108" s="508" t="str">
        <x:v>Pourcentage de réduction de la réussite reproductive des fondatrices dû aux comportements de désoperculation et de VSH. Une réduction de 50 % confère une forte résistance.</x:v>
      </x:c>
      <x:c r="K108" s="508" t="str">
        <x:v>Pourcentage de réduction de la réussite reproductive des fondatrices dû aux comportements de désoperculation et de VSH. Une réduction de 50 % confère une forte résistance.</x:v>
      </x:c>
      <x:c r="L108" s="508" t="str">
        <x:v>Pourcentage de réduction de la réussite reproductive des fondatrices dû aux comportements de désoperculation et de VSH. Une réduction de 50 % confère une forte résistance.</x:v>
      </x:c>
      <x:c r="M108" s="508" t="str">
        <x:v>Pourcentage de réduction de la réussite reproductive des fondatrices dû aux comportements de désoperculation et de VSH. Une réduction de 50 % confère une forte résistance.</x:v>
      </x:c>
    </x:row>
    <x:row r="109" ht="18" customHeight="1">
      <x:c r="A109" s="498"/>
      <x:c r="B109" s="498"/>
      <x:c r="C109" s="498"/>
      <x:c r="D109" s="498"/>
      <x:c r="E109" s="498"/>
      <x:c r="F109" s="498"/>
      <x:c r="G109" s="498"/>
      <x:c r="H109" s="498"/>
      <x:c r="I109" s="498"/>
      <x:c r="J109" s="498"/>
      <x:c r="K109" s="498"/>
      <x:c r="L109" s="498"/>
      <x:c r="M109" s="498"/>
    </x:row>
    <x:row r="110" ht="18" customHeight="1">
      <x:c r="A110" s="498"/>
      <x:c r="B110" s="529" t="str">
        <x:v>Texte de la feuille · BQ50</x:v>
      </x:c>
      <x:c r="C110" s="529" t="str">
        <x:v>Texte de la feuille · BQ50</x:v>
      </x:c>
      <x:c r="D110" s="529" t="str">
        <x:v>Texte de la feuille · BQ50</x:v>
      </x:c>
      <x:c r="E110" s="529" t="str">
        <x:v>Texte de la feuille · BQ50</x:v>
      </x:c>
      <x:c r="F110" s="529" t="str">
        <x:v>Texte de la feuille · BQ50</x:v>
      </x:c>
      <x:c r="G110" s="529" t="str">
        <x:v>Texte de la feuille · BQ50</x:v>
      </x:c>
      <x:c r="H110" s="529" t="str">
        <x:v>Texte de la feuille · BQ50</x:v>
      </x:c>
      <x:c r="I110" s="529" t="str">
        <x:v>Texte de la feuille · BQ50</x:v>
      </x:c>
      <x:c r="J110" s="529" t="str">
        <x:v>Texte de la feuille · BQ50</x:v>
      </x:c>
      <x:c r="K110" s="529" t="str">
        <x:v>Texte de la feuille · BQ50</x:v>
      </x:c>
      <x:c r="L110" s="529" t="str">
        <x:v>Texte de la feuille · BQ50</x:v>
      </x:c>
      <x:c r="M110" s="529" t="str">
        <x:v>Texte de la feuille · BQ50</x:v>
      </x:c>
    </x:row>
    <x:row r="111" ht="56.400001525878906" customHeight="1">
      <x:c r="A111" s="498"/>
      <x:c r="B111" s="508" t="str">
        <x:v>(1 fondatrice + (nombre attendu de filles × succès reproductif)) × probabilité que chacune envahisse de nouveau une cellule. Le résultat est inférieur à celui de Martin, mais aboutit à un r réaliste de 0,024 pour un cycle de 17 jours</x:v>
      </x:c>
      <x:c r="C111" s="508" t="str">
        <x:v>(1 fondatrice + (nombre attendu de filles × succès reproductif)) × probabilité que chacune envahisse de nouveau une cellule. Le résultat est inférieur à celui de Martin, mais aboutit à un r réaliste de 0,024 pour un cycle de 17 jours</x:v>
      </x:c>
      <x:c r="D111" s="508" t="str">
        <x:v>(1 fondatrice + (nombre attendu de filles × succès reproductif)) × probabilité que chacune envahisse de nouveau une cellule. Le résultat est inférieur à celui de Martin, mais aboutit à un r réaliste de 0,024 pour un cycle de 17 jours</x:v>
      </x:c>
      <x:c r="E111" s="508" t="str">
        <x:v>(1 fondatrice + (nombre attendu de filles × succès reproductif)) × probabilité que chacune envahisse de nouveau une cellule. Le résultat est inférieur à celui de Martin, mais aboutit à un r réaliste de 0,024 pour un cycle de 17 jours</x:v>
      </x:c>
      <x:c r="F111" s="508" t="str">
        <x:v>(1 fondatrice + (nombre attendu de filles × succès reproductif)) × probabilité que chacune envahisse de nouveau une cellule. Le résultat est inférieur à celui de Martin, mais aboutit à un r réaliste de 0,024 pour un cycle de 17 jours</x:v>
      </x:c>
      <x:c r="G111" s="508" t="str">
        <x:v>(1 fondatrice + (nombre attendu de filles × succès reproductif)) × probabilité que chacune envahisse de nouveau une cellule. Le résultat est inférieur à celui de Martin, mais aboutit à un r réaliste de 0,024 pour un cycle de 17 jours</x:v>
      </x:c>
      <x:c r="H111" s="508" t="str">
        <x:v>(1 fondatrice + (nombre attendu de filles × succès reproductif)) × probabilité que chacune envahisse de nouveau une cellule. Le résultat est inférieur à celui de Martin, mais aboutit à un r réaliste de 0,024 pour un cycle de 17 jours</x:v>
      </x:c>
      <x:c r="I111" s="508" t="str">
        <x:v>(1 fondatrice + (nombre attendu de filles × succès reproductif)) × probabilité que chacune envahisse de nouveau une cellule. Le résultat est inférieur à celui de Martin, mais aboutit à un r réaliste de 0,024 pour un cycle de 17 jours</x:v>
      </x:c>
      <x:c r="J111" s="508" t="str">
        <x:v>(1 fondatrice + (nombre attendu de filles × succès reproductif)) × probabilité que chacune envahisse de nouveau une cellule. Le résultat est inférieur à celui de Martin, mais aboutit à un r réaliste de 0,024 pour un cycle de 17 jours</x:v>
      </x:c>
      <x:c r="K111" s="508" t="str">
        <x:v>(1 fondatrice + (nombre attendu de filles × succès reproductif)) × probabilité que chacune envahisse de nouveau une cellule. Le résultat est inférieur à celui de Martin, mais aboutit à un r réaliste de 0,024 pour un cycle de 17 jours</x:v>
      </x:c>
      <x:c r="L111" s="508" t="str">
        <x:v>(1 fondatrice + (nombre attendu de filles × succès reproductif)) × probabilité que chacune envahisse de nouveau une cellule. Le résultat est inférieur à celui de Martin, mais aboutit à un r réaliste de 0,024 pour un cycle de 17 jours</x:v>
      </x:c>
      <x:c r="M111" s="508" t="str">
        <x:v>(1 fondatrice + (nombre attendu de filles × succès reproductif)) × probabilité que chacune envahisse de nouveau une cellule. Le résultat est inférieur à celui de Martin, mais aboutit à un r réaliste de 0,024 pour un cycle de 17 jours</x:v>
      </x:c>
    </x:row>
    <x:row r="112" ht="18" customHeight="1">
      <x:c r="A112" s="498"/>
      <x:c r="B112" s="498"/>
      <x:c r="C112" s="498"/>
      <x:c r="D112" s="498"/>
      <x:c r="E112" s="498"/>
      <x:c r="F112" s="498"/>
      <x:c r="G112" s="498"/>
      <x:c r="H112" s="498"/>
      <x:c r="I112" s="498"/>
      <x:c r="J112" s="498"/>
      <x:c r="K112" s="498"/>
      <x:c r="L112" s="498"/>
      <x:c r="M112" s="498"/>
    </x:row>
    <x:row r="113" ht="18" customHeight="1">
      <x:c r="A113" s="498"/>
      <x:c r="B113" s="529" t="str">
        <x:v>Texte de la feuille · AH57</x:v>
      </x:c>
      <x:c r="C113" s="529" t="str">
        <x:v>Texte de la feuille · AH57</x:v>
      </x:c>
      <x:c r="D113" s="529" t="str">
        <x:v>Texte de la feuille · AH57</x:v>
      </x:c>
      <x:c r="E113" s="529" t="str">
        <x:v>Texte de la feuille · AH57</x:v>
      </x:c>
      <x:c r="F113" s="529" t="str">
        <x:v>Texte de la feuille · AH57</x:v>
      </x:c>
      <x:c r="G113" s="529" t="str">
        <x:v>Texte de la feuille · AH57</x:v>
      </x:c>
      <x:c r="H113" s="529" t="str">
        <x:v>Texte de la feuille · AH57</x:v>
      </x:c>
      <x:c r="I113" s="529" t="str">
        <x:v>Texte de la feuille · AH57</x:v>
      </x:c>
      <x:c r="J113" s="529" t="str">
        <x:v>Texte de la feuille · AH57</x:v>
      </x:c>
      <x:c r="K113" s="529" t="str">
        <x:v>Texte de la feuille · AH57</x:v>
      </x:c>
      <x:c r="L113" s="529" t="str">
        <x:v>Texte de la feuille · AH57</x:v>
      </x:c>
      <x:c r="M113" s="529" t="str">
        <x:v>Texte de la feuille · AH57</x:v>
      </x:c>
    </x:row>
    <x:row r="114" ht="56.400001525878906" customHeight="1">
      <x:c r="A114" s="498"/>
      <x:c r="B114" s="508" t="str">
        <x:v>Remarque importante : la valeur de r des varroas dépend de leur densité ; plus les varroas sont nombreux, plus leur croissance est lente. Vérifiez bien votre valeur de r avec une faible population initiale de varroas.</x:v>
      </x:c>
      <x:c r="C114" s="508" t="str">
        <x:v>Remarque importante : la valeur de r des varroas dépend de leur densité ; plus les varroas sont nombreux, plus leur croissance est lente. Vérifiez bien votre valeur de r avec une faible population initiale de varroas.</x:v>
      </x:c>
      <x:c r="D114" s="508" t="str">
        <x:v>Remarque importante : la valeur de r des varroas dépend de leur densité ; plus les varroas sont nombreux, plus leur croissance est lente. Vérifiez bien votre valeur de r avec une faible population initiale de varroas.</x:v>
      </x:c>
      <x:c r="E114" s="508" t="str">
        <x:v>Remarque importante : la valeur de r des varroas dépend de leur densité ; plus les varroas sont nombreux, plus leur croissance est lente. Vérifiez bien votre valeur de r avec une faible population initiale de varroas.</x:v>
      </x:c>
      <x:c r="F114" s="508" t="str">
        <x:v>Remarque importante : la valeur de r des varroas dépend de leur densité ; plus les varroas sont nombreux, plus leur croissance est lente. Vérifiez bien votre valeur de r avec une faible population initiale de varroas.</x:v>
      </x:c>
      <x:c r="G114" s="508" t="str">
        <x:v>Remarque importante : la valeur de r des varroas dépend de leur densité ; plus les varroas sont nombreux, plus leur croissance est lente. Vérifiez bien votre valeur de r avec une faible population initiale de varroas.</x:v>
      </x:c>
      <x:c r="H114" s="508" t="str">
        <x:v>Remarque importante : la valeur de r des varroas dépend de leur densité ; plus les varroas sont nombreux, plus leur croissance est lente. Vérifiez bien votre valeur de r avec une faible population initiale de varroas.</x:v>
      </x:c>
      <x:c r="I114" s="508" t="str">
        <x:v>Remarque importante : la valeur de r des varroas dépend de leur densité ; plus les varroas sont nombreux, plus leur croissance est lente. Vérifiez bien votre valeur de r avec une faible population initiale de varroas.</x:v>
      </x:c>
      <x:c r="J114" s="508" t="str">
        <x:v>Remarque importante : la valeur de r des varroas dépend de leur densité ; plus les varroas sont nombreux, plus leur croissance est lente. Vérifiez bien votre valeur de r avec une faible population initiale de varroas.</x:v>
      </x:c>
      <x:c r="K114" s="508" t="str">
        <x:v>Remarque importante : la valeur de r des varroas dépend de leur densité ; plus les varroas sont nombreux, plus leur croissance est lente. Vérifiez bien votre valeur de r avec une faible population initiale de varroas.</x:v>
      </x:c>
      <x:c r="L114" s="508" t="str">
        <x:v>Remarque importante : la valeur de r des varroas dépend de leur densité ; plus les varroas sont nombreux, plus leur croissance est lente. Vérifiez bien votre valeur de r avec une faible population initiale de varroas.</x:v>
      </x:c>
      <x:c r="M114" s="508" t="str">
        <x:v>Remarque importante : la valeur de r des varroas dépend de leur densité ; plus les varroas sont nombreux, plus leur croissance est lente. Vérifiez bien votre valeur de r avec une faible population initiale de varroas.</x:v>
      </x:c>
    </x:row>
    <x:row r="115" ht="18" customHeight="1">
      <x:c r="A115" s="498"/>
      <x:c r="B115" s="498"/>
      <x:c r="C115" s="498"/>
      <x:c r="D115" s="498"/>
      <x:c r="E115" s="498"/>
      <x:c r="F115" s="498"/>
      <x:c r="G115" s="498"/>
      <x:c r="H115" s="498"/>
      <x:c r="I115" s="498"/>
      <x:c r="J115" s="498"/>
      <x:c r="K115" s="498"/>
      <x:c r="L115" s="498"/>
      <x:c r="M115" s="498"/>
    </x:row>
    <x:row r="116" ht="18" customHeight="1">
      <x:c r="A116" s="498"/>
      <x:c r="B116" s="529" t="str">
        <x:v>Texte de la feuille · AH58</x:v>
      </x:c>
      <x:c r="C116" s="529" t="str">
        <x:v>Texte de la feuille · AH58</x:v>
      </x:c>
      <x:c r="D116" s="529" t="str">
        <x:v>Texte de la feuille · AH58</x:v>
      </x:c>
      <x:c r="E116" s="529" t="str">
        <x:v>Texte de la feuille · AH58</x:v>
      </x:c>
      <x:c r="F116" s="529" t="str">
        <x:v>Texte de la feuille · AH58</x:v>
      </x:c>
      <x:c r="G116" s="529" t="str">
        <x:v>Texte de la feuille · AH58</x:v>
      </x:c>
      <x:c r="H116" s="529" t="str">
        <x:v>Texte de la feuille · AH58</x:v>
      </x:c>
      <x:c r="I116" s="529" t="str">
        <x:v>Texte de la feuille · AH58</x:v>
      </x:c>
      <x:c r="J116" s="529" t="str">
        <x:v>Texte de la feuille · AH58</x:v>
      </x:c>
      <x:c r="K116" s="529" t="str">
        <x:v>Texte de la feuille · AH58</x:v>
      </x:c>
      <x:c r="L116" s="529" t="str">
        <x:v>Texte de la feuille · AH58</x:v>
      </x:c>
      <x:c r="M116" s="529" t="str">
        <x:v>Texte de la feuille · AH58</x:v>
      </x:c>
    </x:row>
    <x:row r="117" ht="56.400001525878906" customHeight="1">
      <x:c r="A117" s="498"/>
      <x:c r="B117" s="508" t="str">
        <x:v>Le taux logarithmique quotidien d’augmentation des varroas pendant la phase de croissance linéaire de la colonie, pour des lignées commerciales non résistantes, se situe habituellement entre 0,015 et 0,023 (mais peut atteindre 0,030 avec l’immigration).</x:v>
      </x:c>
      <x:c r="C117" s="508" t="str">
        <x:v>Le taux logarithmique quotidien d’augmentation des varroas pendant la phase de croissance linéaire de la colonie, pour des lignées commerciales non résistantes, se situe habituellement entre 0,015 et 0,023 (mais peut atteindre 0,030 avec l’immigration).</x:v>
      </x:c>
      <x:c r="D117" s="508" t="str">
        <x:v>Le taux logarithmique quotidien d’augmentation des varroas pendant la phase de croissance linéaire de la colonie, pour des lignées commerciales non résistantes, se situe habituellement entre 0,015 et 0,023 (mais peut atteindre 0,030 avec l’immigration).</x:v>
      </x:c>
      <x:c r="E117" s="508" t="str">
        <x:v>Le taux logarithmique quotidien d’augmentation des varroas pendant la phase de croissance linéaire de la colonie, pour des lignées commerciales non résistantes, se situe habituellement entre 0,015 et 0,023 (mais peut atteindre 0,030 avec l’immigration).</x:v>
      </x:c>
      <x:c r="F117" s="508" t="str">
        <x:v>Le taux logarithmique quotidien d’augmentation des varroas pendant la phase de croissance linéaire de la colonie, pour des lignées commerciales non résistantes, se situe habituellement entre 0,015 et 0,023 (mais peut atteindre 0,030 avec l’immigration).</x:v>
      </x:c>
      <x:c r="G117" s="508" t="str">
        <x:v>Le taux logarithmique quotidien d’augmentation des varroas pendant la phase de croissance linéaire de la colonie, pour des lignées commerciales non résistantes, se situe habituellement entre 0,015 et 0,023 (mais peut atteindre 0,030 avec l’immigration).</x:v>
      </x:c>
      <x:c r="H117" s="508" t="str">
        <x:v>Le taux logarithmique quotidien d’augmentation des varroas pendant la phase de croissance linéaire de la colonie, pour des lignées commerciales non résistantes, se situe habituellement entre 0,015 et 0,023 (mais peut atteindre 0,030 avec l’immigration).</x:v>
      </x:c>
      <x:c r="I117" s="508" t="str">
        <x:v>Le taux logarithmique quotidien d’augmentation des varroas pendant la phase de croissance linéaire de la colonie, pour des lignées commerciales non résistantes, se situe habituellement entre 0,015 et 0,023 (mais peut atteindre 0,030 avec l’immigration).</x:v>
      </x:c>
      <x:c r="J117" s="508" t="str">
        <x:v>Le taux logarithmique quotidien d’augmentation des varroas pendant la phase de croissance linéaire de la colonie, pour des lignées commerciales non résistantes, se situe habituellement entre 0,015 et 0,023 (mais peut atteindre 0,030 avec l’immigration).</x:v>
      </x:c>
      <x:c r="K117" s="508" t="str">
        <x:v>Le taux logarithmique quotidien d’augmentation des varroas pendant la phase de croissance linéaire de la colonie, pour des lignées commerciales non résistantes, se situe habituellement entre 0,015 et 0,023 (mais peut atteindre 0,030 avec l’immigration).</x:v>
      </x:c>
      <x:c r="L117" s="508" t="str">
        <x:v>Le taux logarithmique quotidien d’augmentation des varroas pendant la phase de croissance linéaire de la colonie, pour des lignées commerciales non résistantes, se situe habituellement entre 0,015 et 0,023 (mais peut atteindre 0,030 avec l’immigration).</x:v>
      </x:c>
      <x:c r="M117" s="508" t="str">
        <x:v>Le taux logarithmique quotidien d’augmentation des varroas pendant la phase de croissance linéaire de la colonie, pour des lignées commerciales non résistantes, se situe habituellement entre 0,015 et 0,023 (mais peut atteindre 0,030 avec l’immigration).</x:v>
      </x:c>
    </x:row>
    <x:row r="118" ht="18" customHeight="1">
      <x:c r="A118" s="498"/>
      <x:c r="B118" s="498"/>
      <x:c r="C118" s="498"/>
      <x:c r="D118" s="498"/>
      <x:c r="E118" s="498"/>
      <x:c r="F118" s="498"/>
      <x:c r="G118" s="498"/>
      <x:c r="H118" s="498"/>
      <x:c r="I118" s="498"/>
      <x:c r="J118" s="498"/>
      <x:c r="K118" s="498"/>
      <x:c r="L118" s="498"/>
      <x:c r="M118" s="498"/>
    </x:row>
    <x:row r="119" ht="18" customHeight="1">
      <x:c r="A119" s="498"/>
      <x:c r="B119" s="529" t="str">
        <x:v>Texte de la feuille · AH59</x:v>
      </x:c>
      <x:c r="C119" s="529" t="str">
        <x:v>Texte de la feuille · AH59</x:v>
      </x:c>
      <x:c r="D119" s="529" t="str">
        <x:v>Texte de la feuille · AH59</x:v>
      </x:c>
      <x:c r="E119" s="529" t="str">
        <x:v>Texte de la feuille · AH59</x:v>
      </x:c>
      <x:c r="F119" s="529" t="str">
        <x:v>Texte de la feuille · AH59</x:v>
      </x:c>
      <x:c r="G119" s="529" t="str">
        <x:v>Texte de la feuille · AH59</x:v>
      </x:c>
      <x:c r="H119" s="529" t="str">
        <x:v>Texte de la feuille · AH59</x:v>
      </x:c>
      <x:c r="I119" s="529" t="str">
        <x:v>Texte de la feuille · AH59</x:v>
      </x:c>
      <x:c r="J119" s="529" t="str">
        <x:v>Texte de la feuille · AH59</x:v>
      </x:c>
      <x:c r="K119" s="529" t="str">
        <x:v>Texte de la feuille · AH59</x:v>
      </x:c>
      <x:c r="L119" s="529" t="str">
        <x:v>Texte de la feuille · AH59</x:v>
      </x:c>
      <x:c r="M119" s="529" t="str">
        <x:v>Texte de la feuille · AH59</x:v>
      </x:c>
    </x:row>
    <x:row r="120" ht="41.599998474121094" customHeight="1">
      <x:c r="A120" s="498"/>
      <x:c r="B120" s="508" t="str">
        <x:v>Consultez le tableau ci-dessous pour voir combien de temps il faut à la population de varroas pour doubler lorsque les valeurs de r diminuent.</x:v>
      </x:c>
      <x:c r="C120" s="508" t="str">
        <x:v>Consultez le tableau ci-dessous pour voir combien de temps il faut à la population de varroas pour doubler lorsque les valeurs de r diminuent.</x:v>
      </x:c>
      <x:c r="D120" s="508" t="str">
        <x:v>Consultez le tableau ci-dessous pour voir combien de temps il faut à la population de varroas pour doubler lorsque les valeurs de r diminuent.</x:v>
      </x:c>
      <x:c r="E120" s="508" t="str">
        <x:v>Consultez le tableau ci-dessous pour voir combien de temps il faut à la population de varroas pour doubler lorsque les valeurs de r diminuent.</x:v>
      </x:c>
      <x:c r="F120" s="508" t="str">
        <x:v>Consultez le tableau ci-dessous pour voir combien de temps il faut à la population de varroas pour doubler lorsque les valeurs de r diminuent.</x:v>
      </x:c>
      <x:c r="G120" s="508" t="str">
        <x:v>Consultez le tableau ci-dessous pour voir combien de temps il faut à la population de varroas pour doubler lorsque les valeurs de r diminuent.</x:v>
      </x:c>
      <x:c r="H120" s="508" t="str">
        <x:v>Consultez le tableau ci-dessous pour voir combien de temps il faut à la population de varroas pour doubler lorsque les valeurs de r diminuent.</x:v>
      </x:c>
      <x:c r="I120" s="508" t="str">
        <x:v>Consultez le tableau ci-dessous pour voir combien de temps il faut à la population de varroas pour doubler lorsque les valeurs de r diminuent.</x:v>
      </x:c>
      <x:c r="J120" s="508" t="str">
        <x:v>Consultez le tableau ci-dessous pour voir combien de temps il faut à la population de varroas pour doubler lorsque les valeurs de r diminuent.</x:v>
      </x:c>
      <x:c r="K120" s="508" t="str">
        <x:v>Consultez le tableau ci-dessous pour voir combien de temps il faut à la population de varroas pour doubler lorsque les valeurs de r diminuent.</x:v>
      </x:c>
      <x:c r="L120" s="508" t="str">
        <x:v>Consultez le tableau ci-dessous pour voir combien de temps il faut à la population de varroas pour doubler lorsque les valeurs de r diminuent.</x:v>
      </x:c>
      <x:c r="M120" s="508" t="str">
        <x:v>Consultez le tableau ci-dessous pour voir combien de temps il faut à la population de varroas pour doubler lorsque les valeurs de r diminuent.</x:v>
      </x:c>
    </x:row>
    <x:row r="121" ht="18" customHeight="1">
      <x:c r="A121" s="498"/>
      <x:c r="B121" s="498"/>
      <x:c r="C121" s="498"/>
      <x:c r="D121" s="498"/>
      <x:c r="E121" s="498"/>
      <x:c r="F121" s="498"/>
      <x:c r="G121" s="498"/>
      <x:c r="H121" s="498"/>
      <x:c r="I121" s="498"/>
      <x:c r="J121" s="498"/>
      <x:c r="K121" s="498"/>
      <x:c r="L121" s="498"/>
      <x:c r="M121" s="498"/>
    </x:row>
    <x:row r="122" ht="18" customHeight="1">
      <x:c r="A122" s="498"/>
      <x:c r="B122" s="529" t="str">
        <x:v>Texte de la feuille · BX75</x:v>
      </x:c>
      <x:c r="C122" s="529" t="str">
        <x:v>Texte de la feuille · BX75</x:v>
      </x:c>
      <x:c r="D122" s="529" t="str">
        <x:v>Texte de la feuille · BX75</x:v>
      </x:c>
      <x:c r="E122" s="529" t="str">
        <x:v>Texte de la feuille · BX75</x:v>
      </x:c>
      <x:c r="F122" s="529" t="str">
        <x:v>Texte de la feuille · BX75</x:v>
      </x:c>
      <x:c r="G122" s="529" t="str">
        <x:v>Texte de la feuille · BX75</x:v>
      </x:c>
      <x:c r="H122" s="529" t="str">
        <x:v>Texte de la feuille · BX75</x:v>
      </x:c>
      <x:c r="I122" s="529" t="str">
        <x:v>Texte de la feuille · BX75</x:v>
      </x:c>
      <x:c r="J122" s="529" t="str">
        <x:v>Texte de la feuille · BX75</x:v>
      </x:c>
      <x:c r="K122" s="529" t="str">
        <x:v>Texte de la feuille · BX75</x:v>
      </x:c>
      <x:c r="L122" s="529" t="str">
        <x:v>Texte de la feuille · BX75</x:v>
      </x:c>
      <x:c r="M122" s="529" t="str">
        <x:v>Texte de la feuille · BX75</x:v>
      </x:c>
    </x:row>
    <x:row r="123" ht="71.19999694824219" customHeight="1">
      <x:c r="A123" s="498"/>
      <x:c r="B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C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D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E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F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G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H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I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J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K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L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c r="M123" s="508" t="str">
        <x:v>D’après Martin 1999 : « Une perte de 30 % des varroas à chaque cycle reproductif, hors mortalité phorétique, conduit à un nombre moyen de cycles reproductifs de 2,4 pour les varroas se reproduisant dans des cellules d’ouvrières. Cette valeur se situe dans la plage observée dans d’autres études (synthèse dans Martin et Kemp, 1997). »</x:v>
      </x:c>
    </x:row>
    <x:row r="124" ht="18" customHeight="1">
      <x:c r="A124" s="498"/>
      <x:c r="B124" s="498"/>
      <x:c r="C124" s="498"/>
      <x:c r="D124" s="498"/>
      <x:c r="E124" s="498"/>
      <x:c r="F124" s="498"/>
      <x:c r="G124" s="498"/>
      <x:c r="H124" s="498"/>
      <x:c r="I124" s="498"/>
      <x:c r="J124" s="498"/>
      <x:c r="K124" s="498"/>
      <x:c r="L124" s="498"/>
      <x:c r="M124" s="498"/>
    </x:row>
    <x:row r="125" ht="18" customHeight="1">
      <x:c r="A125" s="498"/>
      <x:c r="B125" s="529" t="str">
        <x:v>Texte de la feuille · BX82</x:v>
      </x:c>
      <x:c r="C125" s="529" t="str">
        <x:v>Texte de la feuille · BX82</x:v>
      </x:c>
      <x:c r="D125" s="529" t="str">
        <x:v>Texte de la feuille · BX82</x:v>
      </x:c>
      <x:c r="E125" s="529" t="str">
        <x:v>Texte de la feuille · BX82</x:v>
      </x:c>
      <x:c r="F125" s="529" t="str">
        <x:v>Texte de la feuille · BX82</x:v>
      </x:c>
      <x:c r="G125" s="529" t="str">
        <x:v>Texte de la feuille · BX82</x:v>
      </x:c>
      <x:c r="H125" s="529" t="str">
        <x:v>Texte de la feuille · BX82</x:v>
      </x:c>
      <x:c r="I125" s="529" t="str">
        <x:v>Texte de la feuille · BX82</x:v>
      </x:c>
      <x:c r="J125" s="529" t="str">
        <x:v>Texte de la feuille · BX82</x:v>
      </x:c>
      <x:c r="K125" s="529" t="str">
        <x:v>Texte de la feuille · BX82</x:v>
      </x:c>
      <x:c r="L125" s="529" t="str">
        <x:v>Texte de la feuille · BX82</x:v>
      </x:c>
      <x:c r="M125" s="529" t="str">
        <x:v>Texte de la feuille · BX82</x:v>
      </x:c>
    </x:row>
    <x:row r="126" ht="41.599998474121094" customHeight="1">
      <x:c r="A126" s="498"/>
      <x:c r="B126" s="508" t="str">
        <x:v>En tenant compte de la mortalité phorétique supplémentaire, une mortalité quotidienne de 1 % pendant la période reproductive donne un résultat à peu près juste.</x:v>
      </x:c>
      <x:c r="C126" s="508" t="str">
        <x:v>En tenant compte de la mortalité phorétique supplémentaire, une mortalité quotidienne de 1 % pendant la période reproductive donne un résultat à peu près juste.</x:v>
      </x:c>
      <x:c r="D126" s="508" t="str">
        <x:v>En tenant compte de la mortalité phorétique supplémentaire, une mortalité quotidienne de 1 % pendant la période reproductive donne un résultat à peu près juste.</x:v>
      </x:c>
      <x:c r="E126" s="508" t="str">
        <x:v>En tenant compte de la mortalité phorétique supplémentaire, une mortalité quotidienne de 1 % pendant la période reproductive donne un résultat à peu près juste.</x:v>
      </x:c>
      <x:c r="F126" s="508" t="str">
        <x:v>En tenant compte de la mortalité phorétique supplémentaire, une mortalité quotidienne de 1 % pendant la période reproductive donne un résultat à peu près juste.</x:v>
      </x:c>
      <x:c r="G126" s="508" t="str">
        <x:v>En tenant compte de la mortalité phorétique supplémentaire, une mortalité quotidienne de 1 % pendant la période reproductive donne un résultat à peu près juste.</x:v>
      </x:c>
      <x:c r="H126" s="508" t="str">
        <x:v>En tenant compte de la mortalité phorétique supplémentaire, une mortalité quotidienne de 1 % pendant la période reproductive donne un résultat à peu près juste.</x:v>
      </x:c>
      <x:c r="I126" s="508" t="str">
        <x:v>En tenant compte de la mortalité phorétique supplémentaire, une mortalité quotidienne de 1 % pendant la période reproductive donne un résultat à peu près juste.</x:v>
      </x:c>
      <x:c r="J126" s="508" t="str">
        <x:v>En tenant compte de la mortalité phorétique supplémentaire, une mortalité quotidienne de 1 % pendant la période reproductive donne un résultat à peu près juste.</x:v>
      </x:c>
      <x:c r="K126" s="508" t="str">
        <x:v>En tenant compte de la mortalité phorétique supplémentaire, une mortalité quotidienne de 1 % pendant la période reproductive donne un résultat à peu près juste.</x:v>
      </x:c>
      <x:c r="L126" s="508" t="str">
        <x:v>En tenant compte de la mortalité phorétique supplémentaire, une mortalité quotidienne de 1 % pendant la période reproductive donne un résultat à peu près juste.</x:v>
      </x:c>
      <x:c r="M126" s="508" t="str">
        <x:v>En tenant compte de la mortalité phorétique supplémentaire, une mortalité quotidienne de 1 % pendant la période reproductive donne un résultat à peu près juste.</x:v>
      </x:c>
    </x:row>
    <x:row r="127" ht="18" customHeight="1">
      <x:c r="A127" s="498"/>
      <x:c r="B127" s="498"/>
      <x:c r="C127" s="498"/>
      <x:c r="D127" s="498"/>
      <x:c r="E127" s="498"/>
      <x:c r="F127" s="498"/>
      <x:c r="G127" s="498"/>
      <x:c r="H127" s="498"/>
      <x:c r="I127" s="498"/>
      <x:c r="J127" s="498"/>
      <x:c r="K127" s="498"/>
      <x:c r="L127" s="498"/>
      <x:c r="M127" s="498"/>
    </x:row>
    <x:row r="128" ht="18" customHeight="1">
      <x:c r="A128" s="498"/>
      <x:c r="B128" s="529" t="str">
        <x:v>Note de calcul — Randy Oliver · BF3</x:v>
      </x:c>
      <x:c r="C128" s="529" t="str">
        <x:v>Note de calcul — Randy Oliver · BF3</x:v>
      </x:c>
      <x:c r="D128" s="529" t="str">
        <x:v>Note de calcul — Randy Oliver · BF3</x:v>
      </x:c>
      <x:c r="E128" s="529" t="str">
        <x:v>Note de calcul — Randy Oliver · BF3</x:v>
      </x:c>
      <x:c r="F128" s="529" t="str">
        <x:v>Note de calcul — Randy Oliver · BF3</x:v>
      </x:c>
      <x:c r="G128" s="529" t="str">
        <x:v>Note de calcul — Randy Oliver · BF3</x:v>
      </x:c>
      <x:c r="H128" s="529" t="str">
        <x:v>Note de calcul — Randy Oliver · BF3</x:v>
      </x:c>
      <x:c r="I128" s="529" t="str">
        <x:v>Note de calcul — Randy Oliver · BF3</x:v>
      </x:c>
      <x:c r="J128" s="529" t="str">
        <x:v>Note de calcul — Randy Oliver · BF3</x:v>
      </x:c>
      <x:c r="K128" s="529" t="str">
        <x:v>Note de calcul — Randy Oliver · BF3</x:v>
      </x:c>
      <x:c r="L128" s="529" t="str">
        <x:v>Note de calcul — Randy Oliver · BF3</x:v>
      </x:c>
      <x:c r="M128" s="529" t="str">
        <x:v>Note de calcul — Randy Oliver · BF3</x:v>
      </x:c>
    </x:row>
    <x:row r="129" ht="31" customHeight="1">
      <x:c r="A129" s="498"/>
      <x:c r="B129" s="508" t="str">
        <x:v>Randy Oliver :</x:v>
      </x:c>
      <x:c r="C129" s="508" t="str">
        <x:v>Randy Oliver :</x:v>
      </x:c>
      <x:c r="D129" s="508" t="str">
        <x:v>Randy Oliver :</x:v>
      </x:c>
      <x:c r="E129" s="508" t="str">
        <x:v>Randy Oliver :</x:v>
      </x:c>
      <x:c r="F129" s="508" t="str">
        <x:v>Randy Oliver :</x:v>
      </x:c>
      <x:c r="G129" s="508" t="str">
        <x:v>Randy Oliver :</x:v>
      </x:c>
      <x:c r="H129" s="508" t="str">
        <x:v>Randy Oliver :</x:v>
      </x:c>
      <x:c r="I129" s="508" t="str">
        <x:v>Randy Oliver :</x:v>
      </x:c>
      <x:c r="J129" s="508" t="str">
        <x:v>Randy Oliver :</x:v>
      </x:c>
      <x:c r="K129" s="508" t="str">
        <x:v>Randy Oliver :</x:v>
      </x:c>
      <x:c r="L129" s="508" t="str">
        <x:v>Randy Oliver :</x:v>
      </x:c>
      <x:c r="M129" s="508" t="str">
        <x:v>Randy Oliver :</x:v>
      </x:c>
    </x:row>
    <x:row r="130" ht="56.400001525878906" customHeight="1">
      <x:c r="A130" s="498"/>
      <x:c r="B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C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D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E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F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G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H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I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J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K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L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c r="M130" s="508" t="str">
        <x:v>Lorsque je compare les données de terrain de colonies d’un même rucher, je constate des valeurs très éloignées de la tendance générale pour l’accroissement des varroas. Interprétez donc le modèle comme présentant des nombres médians de varroas, et non des moyennes.</x:v>
      </x:c>
    </x:row>
    <x:row r="131" ht="18" customHeight="1">
      <x:c r="A131" s="498"/>
      <x:c r="B131" s="498"/>
      <x:c r="C131" s="498"/>
      <x:c r="D131" s="498"/>
      <x:c r="E131" s="498"/>
      <x:c r="F131" s="498"/>
      <x:c r="G131" s="498"/>
      <x:c r="H131" s="498"/>
      <x:c r="I131" s="498"/>
      <x:c r="J131" s="498"/>
      <x:c r="K131" s="498"/>
      <x:c r="L131" s="498"/>
      <x:c r="M131" s="498"/>
    </x:row>
    <x:row r="132" ht="18" customHeight="1">
      <x:c r="A132" s="498"/>
      <x:c r="B132" s="529" t="str">
        <x:v>Note de calcul — Randy Oliver · BR3</x:v>
      </x:c>
      <x:c r="C132" s="529" t="str">
        <x:v>Note de calcul — Randy Oliver · BR3</x:v>
      </x:c>
      <x:c r="D132" s="529" t="str">
        <x:v>Note de calcul — Randy Oliver · BR3</x:v>
      </x:c>
      <x:c r="E132" s="529" t="str">
        <x:v>Note de calcul — Randy Oliver · BR3</x:v>
      </x:c>
      <x:c r="F132" s="529" t="str">
        <x:v>Note de calcul — Randy Oliver · BR3</x:v>
      </x:c>
      <x:c r="G132" s="529" t="str">
        <x:v>Note de calcul — Randy Oliver · BR3</x:v>
      </x:c>
      <x:c r="H132" s="529" t="str">
        <x:v>Note de calcul — Randy Oliver · BR3</x:v>
      </x:c>
      <x:c r="I132" s="529" t="str">
        <x:v>Note de calcul — Randy Oliver · BR3</x:v>
      </x:c>
      <x:c r="J132" s="529" t="str">
        <x:v>Note de calcul — Randy Oliver · BR3</x:v>
      </x:c>
      <x:c r="K132" s="529" t="str">
        <x:v>Note de calcul — Randy Oliver · BR3</x:v>
      </x:c>
      <x:c r="L132" s="529" t="str">
        <x:v>Note de calcul — Randy Oliver · BR3</x:v>
      </x:c>
      <x:c r="M132" s="529" t="str">
        <x:v>Note de calcul — Randy Oliver · BR3</x:v>
      </x:c>
    </x:row>
    <x:row r="133" ht="31" customHeight="1">
      <x:c r="A133" s="498"/>
      <x:c r="B133" s="508" t="str">
        <x:v>Randy Oliver :</x:v>
      </x:c>
      <x:c r="C133" s="508" t="str">
        <x:v>Randy Oliver :</x:v>
      </x:c>
      <x:c r="D133" s="508" t="str">
        <x:v>Randy Oliver :</x:v>
      </x:c>
      <x:c r="E133" s="508" t="str">
        <x:v>Randy Oliver :</x:v>
      </x:c>
      <x:c r="F133" s="508" t="str">
        <x:v>Randy Oliver :</x:v>
      </x:c>
      <x:c r="G133" s="508" t="str">
        <x:v>Randy Oliver :</x:v>
      </x:c>
      <x:c r="H133" s="508" t="str">
        <x:v>Randy Oliver :</x:v>
      </x:c>
      <x:c r="I133" s="508" t="str">
        <x:v>Randy Oliver :</x:v>
      </x:c>
      <x:c r="J133" s="508" t="str">
        <x:v>Randy Oliver :</x:v>
      </x:c>
      <x:c r="K133" s="508" t="str">
        <x:v>Randy Oliver :</x:v>
      </x:c>
      <x:c r="L133" s="508" t="str">
        <x:v>Randy Oliver :</x:v>
      </x:c>
      <x:c r="M133" s="508" t="str">
        <x:v>Randy Oliver :</x:v>
      </x:c>
    </x:row>
    <x:row r="134" ht="31" customHeight="1">
      <x:c r="A134" s="498"/>
      <x:c r="B134" s="508" t="str">
        <x:v>Nombre de cadres × AK44</x:v>
      </x:c>
      <x:c r="C134" s="508" t="str">
        <x:v>Nombre de cadres × AK44</x:v>
      </x:c>
      <x:c r="D134" s="508" t="str">
        <x:v>Nombre de cadres × AK44</x:v>
      </x:c>
      <x:c r="E134" s="508" t="str">
        <x:v>Nombre de cadres × AK44</x:v>
      </x:c>
      <x:c r="F134" s="508" t="str">
        <x:v>Nombre de cadres × AK44</x:v>
      </x:c>
      <x:c r="G134" s="508" t="str">
        <x:v>Nombre de cadres × AK44</x:v>
      </x:c>
      <x:c r="H134" s="508" t="str">
        <x:v>Nombre de cadres × AK44</x:v>
      </x:c>
      <x:c r="I134" s="508" t="str">
        <x:v>Nombre de cadres × AK44</x:v>
      </x:c>
      <x:c r="J134" s="508" t="str">
        <x:v>Nombre de cadres × AK44</x:v>
      </x:c>
      <x:c r="K134" s="508" t="str">
        <x:v>Nombre de cadres × AK44</x:v>
      </x:c>
      <x:c r="L134" s="508" t="str">
        <x:v>Nombre de cadres × AK44</x:v>
      </x:c>
      <x:c r="M134" s="508" t="str">
        <x:v>Nombre de cadres × AK44</x:v>
      </x:c>
    </x:row>
    <x:row r="135" ht="18" customHeight="1">
      <x:c r="A135" s="498"/>
      <x:c r="B135" s="498"/>
      <x:c r="C135" s="498"/>
      <x:c r="D135" s="498"/>
      <x:c r="E135" s="498"/>
      <x:c r="F135" s="498"/>
      <x:c r="G135" s="498"/>
      <x:c r="H135" s="498"/>
      <x:c r="I135" s="498"/>
      <x:c r="J135" s="498"/>
      <x:c r="K135" s="498"/>
      <x:c r="L135" s="498"/>
      <x:c r="M135" s="498"/>
    </x:row>
    <x:row r="136" ht="18" customHeight="1">
      <x:c r="A136" s="498"/>
      <x:c r="B136" s="529" t="str">
        <x:v>Note de calcul — Randy Oliver · BT3</x:v>
      </x:c>
      <x:c r="C136" s="529" t="str">
        <x:v>Note de calcul — Randy Oliver · BT3</x:v>
      </x:c>
      <x:c r="D136" s="529" t="str">
        <x:v>Note de calcul — Randy Oliver · BT3</x:v>
      </x:c>
      <x:c r="E136" s="529" t="str">
        <x:v>Note de calcul — Randy Oliver · BT3</x:v>
      </x:c>
      <x:c r="F136" s="529" t="str">
        <x:v>Note de calcul — Randy Oliver · BT3</x:v>
      </x:c>
      <x:c r="G136" s="529" t="str">
        <x:v>Note de calcul — Randy Oliver · BT3</x:v>
      </x:c>
      <x:c r="H136" s="529" t="str">
        <x:v>Note de calcul — Randy Oliver · BT3</x:v>
      </x:c>
      <x:c r="I136" s="529" t="str">
        <x:v>Note de calcul — Randy Oliver · BT3</x:v>
      </x:c>
      <x:c r="J136" s="529" t="str">
        <x:v>Note de calcul — Randy Oliver · BT3</x:v>
      </x:c>
      <x:c r="K136" s="529" t="str">
        <x:v>Note de calcul — Randy Oliver · BT3</x:v>
      </x:c>
      <x:c r="L136" s="529" t="str">
        <x:v>Note de calcul — Randy Oliver · BT3</x:v>
      </x:c>
      <x:c r="M136" s="529" t="str">
        <x:v>Note de calcul — Randy Oliver · BT3</x:v>
      </x:c>
    </x:row>
    <x:row r="137" ht="31" customHeight="1">
      <x:c r="A137" s="498"/>
      <x:c r="B137" s="508" t="str">
        <x:v>Randy Oliver :</x:v>
      </x:c>
      <x:c r="C137" s="508" t="str">
        <x:v>Randy Oliver :</x:v>
      </x:c>
      <x:c r="D137" s="508" t="str">
        <x:v>Randy Oliver :</x:v>
      </x:c>
      <x:c r="E137" s="508" t="str">
        <x:v>Randy Oliver :</x:v>
      </x:c>
      <x:c r="F137" s="508" t="str">
        <x:v>Randy Oliver :</x:v>
      </x:c>
      <x:c r="G137" s="508" t="str">
        <x:v>Randy Oliver :</x:v>
      </x:c>
      <x:c r="H137" s="508" t="str">
        <x:v>Randy Oliver :</x:v>
      </x:c>
      <x:c r="I137" s="508" t="str">
        <x:v>Randy Oliver :</x:v>
      </x:c>
      <x:c r="J137" s="508" t="str">
        <x:v>Randy Oliver :</x:v>
      </x:c>
      <x:c r="K137" s="508" t="str">
        <x:v>Randy Oliver :</x:v>
      </x:c>
      <x:c r="L137" s="508" t="str">
        <x:v>Randy Oliver :</x:v>
      </x:c>
      <x:c r="M137" s="508" t="str">
        <x:v>Randy Oliver :</x:v>
      </x:c>
    </x:row>
    <x:row r="138" ht="31" customHeight="1">
      <x:c r="A138" s="498"/>
      <x:c r="B138" s="508" t="str">
        <x:v>Nombre de cadres × AK43</x:v>
      </x:c>
      <x:c r="C138" s="508" t="str">
        <x:v>Nombre de cadres × AK43</x:v>
      </x:c>
      <x:c r="D138" s="508" t="str">
        <x:v>Nombre de cadres × AK43</x:v>
      </x:c>
      <x:c r="E138" s="508" t="str">
        <x:v>Nombre de cadres × AK43</x:v>
      </x:c>
      <x:c r="F138" s="508" t="str">
        <x:v>Nombre de cadres × AK43</x:v>
      </x:c>
      <x:c r="G138" s="508" t="str">
        <x:v>Nombre de cadres × AK43</x:v>
      </x:c>
      <x:c r="H138" s="508" t="str">
        <x:v>Nombre de cadres × AK43</x:v>
      </x:c>
      <x:c r="I138" s="508" t="str">
        <x:v>Nombre de cadres × AK43</x:v>
      </x:c>
      <x:c r="J138" s="508" t="str">
        <x:v>Nombre de cadres × AK43</x:v>
      </x:c>
      <x:c r="K138" s="508" t="str">
        <x:v>Nombre de cadres × AK43</x:v>
      </x:c>
      <x:c r="L138" s="508" t="str">
        <x:v>Nombre de cadres × AK43</x:v>
      </x:c>
      <x:c r="M138" s="508" t="str">
        <x:v>Nombre de cadres × AK43</x:v>
      </x:c>
    </x:row>
    <x:row r="139" ht="18" customHeight="1">
      <x:c r="A139" s="498"/>
      <x:c r="B139" s="498"/>
      <x:c r="C139" s="498"/>
      <x:c r="D139" s="498"/>
      <x:c r="E139" s="498"/>
      <x:c r="F139" s="498"/>
      <x:c r="G139" s="498"/>
      <x:c r="H139" s="498"/>
      <x:c r="I139" s="498"/>
      <x:c r="J139" s="498"/>
      <x:c r="K139" s="498"/>
      <x:c r="L139" s="498"/>
      <x:c r="M139" s="498"/>
    </x:row>
    <x:row r="140" ht="18" customHeight="1">
      <x:c r="A140" s="498"/>
      <x:c r="B140" s="529" t="str">
        <x:v>Note de calcul — Randy Oliver · BW3</x:v>
      </x:c>
      <x:c r="C140" s="529" t="str">
        <x:v>Note de calcul — Randy Oliver · BW3</x:v>
      </x:c>
      <x:c r="D140" s="529" t="str">
        <x:v>Note de calcul — Randy Oliver · BW3</x:v>
      </x:c>
      <x:c r="E140" s="529" t="str">
        <x:v>Note de calcul — Randy Oliver · BW3</x:v>
      </x:c>
      <x:c r="F140" s="529" t="str">
        <x:v>Note de calcul — Randy Oliver · BW3</x:v>
      </x:c>
      <x:c r="G140" s="529" t="str">
        <x:v>Note de calcul — Randy Oliver · BW3</x:v>
      </x:c>
      <x:c r="H140" s="529" t="str">
        <x:v>Note de calcul — Randy Oliver · BW3</x:v>
      </x:c>
      <x:c r="I140" s="529" t="str">
        <x:v>Note de calcul — Randy Oliver · BW3</x:v>
      </x:c>
      <x:c r="J140" s="529" t="str">
        <x:v>Note de calcul — Randy Oliver · BW3</x:v>
      </x:c>
      <x:c r="K140" s="529" t="str">
        <x:v>Note de calcul — Randy Oliver · BW3</x:v>
      </x:c>
      <x:c r="L140" s="529" t="str">
        <x:v>Note de calcul — Randy Oliver · BW3</x:v>
      </x:c>
      <x:c r="M140" s="529" t="str">
        <x:v>Note de calcul — Randy Oliver · BW3</x:v>
      </x:c>
    </x:row>
    <x:row r="141" ht="31" customHeight="1">
      <x:c r="A141" s="498"/>
      <x:c r="B141" s="508" t="str">
        <x:v>Randy Oliver :</x:v>
      </x:c>
      <x:c r="C141" s="508" t="str">
        <x:v>Randy Oliver :</x:v>
      </x:c>
      <x:c r="D141" s="508" t="str">
        <x:v>Randy Oliver :</x:v>
      </x:c>
      <x:c r="E141" s="508" t="str">
        <x:v>Randy Oliver :</x:v>
      </x:c>
      <x:c r="F141" s="508" t="str">
        <x:v>Randy Oliver :</x:v>
      </x:c>
      <x:c r="G141" s="508" t="str">
        <x:v>Randy Oliver :</x:v>
      </x:c>
      <x:c r="H141" s="508" t="str">
        <x:v>Randy Oliver :</x:v>
      </x:c>
      <x:c r="I141" s="508" t="str">
        <x:v>Randy Oliver :</x:v>
      </x:c>
      <x:c r="J141" s="508" t="str">
        <x:v>Randy Oliver :</x:v>
      </x:c>
      <x:c r="K141" s="508" t="str">
        <x:v>Randy Oliver :</x:v>
      </x:c>
      <x:c r="L141" s="508" t="str">
        <x:v>Randy Oliver :</x:v>
      </x:c>
      <x:c r="M141" s="508" t="str">
        <x:v>Randy Oliver :</x:v>
      </x:c>
    </x:row>
    <x:row r="142" ht="31" customHeight="1">
      <x:c r="A142" s="498"/>
      <x:c r="B142" s="508" t="str">
        <x:v>BN6*AP6</x:v>
      </x:c>
      <x:c r="C142" s="508" t="str">
        <x:v>BN6*AP6</x:v>
      </x:c>
      <x:c r="D142" s="508" t="str">
        <x:v>BN6*AP6</x:v>
      </x:c>
      <x:c r="E142" s="508" t="str">
        <x:v>BN6*AP6</x:v>
      </x:c>
      <x:c r="F142" s="508" t="str">
        <x:v>BN6*AP6</x:v>
      </x:c>
      <x:c r="G142" s="508" t="str">
        <x:v>BN6*AP6</x:v>
      </x:c>
      <x:c r="H142" s="508" t="str">
        <x:v>BN6*AP6</x:v>
      </x:c>
      <x:c r="I142" s="508" t="str">
        <x:v>BN6*AP6</x:v>
      </x:c>
      <x:c r="J142" s="508" t="str">
        <x:v>BN6*AP6</x:v>
      </x:c>
      <x:c r="K142" s="508" t="str">
        <x:v>BN6*AP6</x:v>
      </x:c>
      <x:c r="L142" s="508" t="str">
        <x:v>BN6*AP6</x:v>
      </x:c>
      <x:c r="M142" s="508" t="str">
        <x:v>BN6*AP6</x:v>
      </x:c>
    </x:row>
    <x:row r="143" ht="18" customHeight="1">
      <x:c r="A143" s="498"/>
      <x:c r="B143" s="498"/>
      <x:c r="C143" s="498"/>
      <x:c r="D143" s="498"/>
      <x:c r="E143" s="498"/>
      <x:c r="F143" s="498"/>
      <x:c r="G143" s="498"/>
      <x:c r="H143" s="498"/>
      <x:c r="I143" s="498"/>
      <x:c r="J143" s="498"/>
      <x:c r="K143" s="498"/>
      <x:c r="L143" s="498"/>
      <x:c r="M143" s="498"/>
    </x:row>
    <x:row r="144" ht="18" customHeight="1">
      <x:c r="A144" s="498"/>
      <x:c r="B144" s="529" t="str">
        <x:v>Note de calcul — Randy Oliver · BY3</x:v>
      </x:c>
      <x:c r="C144" s="529" t="str">
        <x:v>Note de calcul — Randy Oliver · BY3</x:v>
      </x:c>
      <x:c r="D144" s="529" t="str">
        <x:v>Note de calcul — Randy Oliver · BY3</x:v>
      </x:c>
      <x:c r="E144" s="529" t="str">
        <x:v>Note de calcul — Randy Oliver · BY3</x:v>
      </x:c>
      <x:c r="F144" s="529" t="str">
        <x:v>Note de calcul — Randy Oliver · BY3</x:v>
      </x:c>
      <x:c r="G144" s="529" t="str">
        <x:v>Note de calcul — Randy Oliver · BY3</x:v>
      </x:c>
      <x:c r="H144" s="529" t="str">
        <x:v>Note de calcul — Randy Oliver · BY3</x:v>
      </x:c>
      <x:c r="I144" s="529" t="str">
        <x:v>Note de calcul — Randy Oliver · BY3</x:v>
      </x:c>
      <x:c r="J144" s="529" t="str">
        <x:v>Note de calcul — Randy Oliver · BY3</x:v>
      </x:c>
      <x:c r="K144" s="529" t="str">
        <x:v>Note de calcul — Randy Oliver · BY3</x:v>
      </x:c>
      <x:c r="L144" s="529" t="str">
        <x:v>Note de calcul — Randy Oliver · BY3</x:v>
      </x:c>
      <x:c r="M144" s="529" t="str">
        <x:v>Note de calcul — Randy Oliver · BY3</x:v>
      </x:c>
    </x:row>
    <x:row r="145" ht="31" customHeight="1">
      <x:c r="A145" s="498"/>
      <x:c r="B145" s="508" t="str">
        <x:v>Randy Oliver :</x:v>
      </x:c>
      <x:c r="C145" s="508" t="str">
        <x:v>Randy Oliver :</x:v>
      </x:c>
      <x:c r="D145" s="508" t="str">
        <x:v>Randy Oliver :</x:v>
      </x:c>
      <x:c r="E145" s="508" t="str">
        <x:v>Randy Oliver :</x:v>
      </x:c>
      <x:c r="F145" s="508" t="str">
        <x:v>Randy Oliver :</x:v>
      </x:c>
      <x:c r="G145" s="508" t="str">
        <x:v>Randy Oliver :</x:v>
      </x:c>
      <x:c r="H145" s="508" t="str">
        <x:v>Randy Oliver :</x:v>
      </x:c>
      <x:c r="I145" s="508" t="str">
        <x:v>Randy Oliver :</x:v>
      </x:c>
      <x:c r="J145" s="508" t="str">
        <x:v>Randy Oliver :</x:v>
      </x:c>
      <x:c r="K145" s="508" t="str">
        <x:v>Randy Oliver :</x:v>
      </x:c>
      <x:c r="L145" s="508" t="str">
        <x:v>Randy Oliver :</x:v>
      </x:c>
      <x:c r="M145" s="508" t="str">
        <x:v>Randy Oliver :</x:v>
      </x:c>
    </x:row>
    <x:row r="146" ht="31" customHeight="1">
      <x:c r="A146" s="498"/>
      <x:c r="B146" s="508" t="str">
        <x:v>J’ai extrapolé les valeurs de Boot et constaté qu’elles s’ajustent à une fonction logarithmique.</x:v>
      </x:c>
      <x:c r="C146" s="508" t="str">
        <x:v>J’ai extrapolé les valeurs de Boot et constaté qu’elles s’ajustent à une fonction logarithmique.</x:v>
      </x:c>
      <x:c r="D146" s="508" t="str">
        <x:v>J’ai extrapolé les valeurs de Boot et constaté qu’elles s’ajustent à une fonction logarithmique.</x:v>
      </x:c>
      <x:c r="E146" s="508" t="str">
        <x:v>J’ai extrapolé les valeurs de Boot et constaté qu’elles s’ajustent à une fonction logarithmique.</x:v>
      </x:c>
      <x:c r="F146" s="508" t="str">
        <x:v>J’ai extrapolé les valeurs de Boot et constaté qu’elles s’ajustent à une fonction logarithmique.</x:v>
      </x:c>
      <x:c r="G146" s="508" t="str">
        <x:v>J’ai extrapolé les valeurs de Boot et constaté qu’elles s’ajustent à une fonction logarithmique.</x:v>
      </x:c>
      <x:c r="H146" s="508" t="str">
        <x:v>J’ai extrapolé les valeurs de Boot et constaté qu’elles s’ajustent à une fonction logarithmique.</x:v>
      </x:c>
      <x:c r="I146" s="508" t="str">
        <x:v>J’ai extrapolé les valeurs de Boot et constaté qu’elles s’ajustent à une fonction logarithmique.</x:v>
      </x:c>
      <x:c r="J146" s="508" t="str">
        <x:v>J’ai extrapolé les valeurs de Boot et constaté qu’elles s’ajustent à une fonction logarithmique.</x:v>
      </x:c>
      <x:c r="K146" s="508" t="str">
        <x:v>J’ai extrapolé les valeurs de Boot et constaté qu’elles s’ajustent à une fonction logarithmique.</x:v>
      </x:c>
      <x:c r="L146" s="508" t="str">
        <x:v>J’ai extrapolé les valeurs de Boot et constaté qu’elles s’ajustent à une fonction logarithmique.</x:v>
      </x:c>
      <x:c r="M146" s="508" t="str">
        <x:v>J’ai extrapolé les valeurs de Boot et constaté qu’elles s’ajustent à une fonction logarithmique.</x:v>
      </x:c>
    </x:row>
    <x:row r="147" ht="31" customHeight="1">
      <x:c r="A147" s="498"/>
      <x:c r="B147" s="508" t="str">
        <x:v>Voir les calculs à partir de la cellule AU86.</x:v>
      </x:c>
      <x:c r="C147" s="508" t="str">
        <x:v>Voir les calculs à partir de la cellule AU86.</x:v>
      </x:c>
      <x:c r="D147" s="508" t="str">
        <x:v>Voir les calculs à partir de la cellule AU86.</x:v>
      </x:c>
      <x:c r="E147" s="508" t="str">
        <x:v>Voir les calculs à partir de la cellule AU86.</x:v>
      </x:c>
      <x:c r="F147" s="508" t="str">
        <x:v>Voir les calculs à partir de la cellule AU86.</x:v>
      </x:c>
      <x:c r="G147" s="508" t="str">
        <x:v>Voir les calculs à partir de la cellule AU86.</x:v>
      </x:c>
      <x:c r="H147" s="508" t="str">
        <x:v>Voir les calculs à partir de la cellule AU86.</x:v>
      </x:c>
      <x:c r="I147" s="508" t="str">
        <x:v>Voir les calculs à partir de la cellule AU86.</x:v>
      </x:c>
      <x:c r="J147" s="508" t="str">
        <x:v>Voir les calculs à partir de la cellule AU86.</x:v>
      </x:c>
      <x:c r="K147" s="508" t="str">
        <x:v>Voir les calculs à partir de la cellule AU86.</x:v>
      </x:c>
      <x:c r="L147" s="508" t="str">
        <x:v>Voir les calculs à partir de la cellule AU86.</x:v>
      </x:c>
      <x:c r="M147" s="508" t="str">
        <x:v>Voir les calculs à partir de la cellule AU86.</x:v>
      </x:c>
    </x:row>
    <x:row r="148" ht="41.599998474121094" customHeight="1">
      <x:c r="A148" s="498"/>
      <x:c r="B148" s="508" t="str">
        <x:v>Pour cette version, l’hypothèse fondamentale est que les fondatrices envahissent les cellules selon la relation y=-5*ln(x)+5, où x est le rapport couvain / abeilles adultes et y le nombre de jours de phorésie.</x:v>
      </x:c>
      <x:c r="C148" s="508" t="str">
        <x:v>Pour cette version, l’hypothèse fondamentale est que les fondatrices envahissent les cellules selon la relation y=-5*ln(x)+5, où x est le rapport couvain / abeilles adultes et y le nombre de jours de phorésie.</x:v>
      </x:c>
      <x:c r="D148" s="508" t="str">
        <x:v>Pour cette version, l’hypothèse fondamentale est que les fondatrices envahissent les cellules selon la relation y=-5*ln(x)+5, où x est le rapport couvain / abeilles adultes et y le nombre de jours de phorésie.</x:v>
      </x:c>
      <x:c r="E148" s="508" t="str">
        <x:v>Pour cette version, l’hypothèse fondamentale est que les fondatrices envahissent les cellules selon la relation y=-5*ln(x)+5, où x est le rapport couvain / abeilles adultes et y le nombre de jours de phorésie.</x:v>
      </x:c>
      <x:c r="F148" s="508" t="str">
        <x:v>Pour cette version, l’hypothèse fondamentale est que les fondatrices envahissent les cellules selon la relation y=-5*ln(x)+5, où x est le rapport couvain / abeilles adultes et y le nombre de jours de phorésie.</x:v>
      </x:c>
      <x:c r="G148" s="508" t="str">
        <x:v>Pour cette version, l’hypothèse fondamentale est que les fondatrices envahissent les cellules selon la relation y=-5*ln(x)+5, où x est le rapport couvain / abeilles adultes et y le nombre de jours de phorésie.</x:v>
      </x:c>
      <x:c r="H148" s="508" t="str">
        <x:v>Pour cette version, l’hypothèse fondamentale est que les fondatrices envahissent les cellules selon la relation y=-5*ln(x)+5, où x est le rapport couvain / abeilles adultes et y le nombre de jours de phorésie.</x:v>
      </x:c>
      <x:c r="I148" s="508" t="str">
        <x:v>Pour cette version, l’hypothèse fondamentale est que les fondatrices envahissent les cellules selon la relation y=-5*ln(x)+5, où x est le rapport couvain / abeilles adultes et y le nombre de jours de phorésie.</x:v>
      </x:c>
      <x:c r="J148" s="508" t="str">
        <x:v>Pour cette version, l’hypothèse fondamentale est que les fondatrices envahissent les cellules selon la relation y=-5*ln(x)+5, où x est le rapport couvain / abeilles adultes et y le nombre de jours de phorésie.</x:v>
      </x:c>
      <x:c r="K148" s="508" t="str">
        <x:v>Pour cette version, l’hypothèse fondamentale est que les fondatrices envahissent les cellules selon la relation y=-5*ln(x)+5, où x est le rapport couvain / abeilles adultes et y le nombre de jours de phorésie.</x:v>
      </x:c>
      <x:c r="L148" s="508" t="str">
        <x:v>Pour cette version, l’hypothèse fondamentale est que les fondatrices envahissent les cellules selon la relation y=-5*ln(x)+5, où x est le rapport couvain / abeilles adultes et y le nombre de jours de phorésie.</x:v>
      </x:c>
      <x:c r="M148" s="508" t="str">
        <x:v>Pour cette version, l’hypothèse fondamentale est que les fondatrices envahissent les cellules selon la relation y=-5*ln(x)+5, où x est le rapport couvain / abeilles adultes et y le nombre de jours de phorésie.</x:v>
      </x:c>
    </x:row>
    <x:row r="149" ht="71.19999694824219" customHeight="1">
      <x:c r="A149" s="498"/>
      <x:c r="B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C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D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E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F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G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H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I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J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K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L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c r="M149" s="508" t="str">
        <x:v>Il existe peut-être une durée phorétique minimale, liée à la nécessité d’une capacitation des spermatozoïdes : Häußermann CK, Ziegelmann B, Rosenkranz P (2016). Capacitation des spermatozoïdes chez les femelles de Varroa destructor et son influence sur le calendrier et la réussite de la reproduction des femelles. Experimental and Applied Acarology 69: 371–387.</x:v>
      </x:c>
    </x:row>
    <x:row r="150" ht="18" customHeight="1">
      <x:c r="A150" s="498"/>
      <x:c r="B150" s="498"/>
      <x:c r="C150" s="498"/>
      <x:c r="D150" s="498"/>
      <x:c r="E150" s="498"/>
      <x:c r="F150" s="498"/>
      <x:c r="G150" s="498"/>
      <x:c r="H150" s="498"/>
      <x:c r="I150" s="498"/>
      <x:c r="J150" s="498"/>
      <x:c r="K150" s="498"/>
      <x:c r="L150" s="498"/>
      <x:c r="M150" s="498"/>
    </x:row>
    <x:row r="151" ht="18" customHeight="1">
      <x:c r="A151" s="498"/>
      <x:c r="B151" s="529" t="str">
        <x:v>Note de calcul — Randy Oliver · BZ3</x:v>
      </x:c>
      <x:c r="C151" s="529" t="str">
        <x:v>Note de calcul — Randy Oliver · BZ3</x:v>
      </x:c>
      <x:c r="D151" s="529" t="str">
        <x:v>Note de calcul — Randy Oliver · BZ3</x:v>
      </x:c>
      <x:c r="E151" s="529" t="str">
        <x:v>Note de calcul — Randy Oliver · BZ3</x:v>
      </x:c>
      <x:c r="F151" s="529" t="str">
        <x:v>Note de calcul — Randy Oliver · BZ3</x:v>
      </x:c>
      <x:c r="G151" s="529" t="str">
        <x:v>Note de calcul — Randy Oliver · BZ3</x:v>
      </x:c>
      <x:c r="H151" s="529" t="str">
        <x:v>Note de calcul — Randy Oliver · BZ3</x:v>
      </x:c>
      <x:c r="I151" s="529" t="str">
        <x:v>Note de calcul — Randy Oliver · BZ3</x:v>
      </x:c>
      <x:c r="J151" s="529" t="str">
        <x:v>Note de calcul — Randy Oliver · BZ3</x:v>
      </x:c>
      <x:c r="K151" s="529" t="str">
        <x:v>Note de calcul — Randy Oliver · BZ3</x:v>
      </x:c>
      <x:c r="L151" s="529" t="str">
        <x:v>Note de calcul — Randy Oliver · BZ3</x:v>
      </x:c>
      <x:c r="M151" s="529" t="str">
        <x:v>Note de calcul — Randy Oliver · BZ3</x:v>
      </x:c>
    </x:row>
    <x:row r="152" ht="31" customHeight="1">
      <x:c r="A152" s="498"/>
      <x:c r="B152" s="508" t="str">
        <x:v>Randy Oliver :</x:v>
      </x:c>
      <x:c r="C152" s="508" t="str">
        <x:v>Randy Oliver :</x:v>
      </x:c>
      <x:c r="D152" s="508" t="str">
        <x:v>Randy Oliver :</x:v>
      </x:c>
      <x:c r="E152" s="508" t="str">
        <x:v>Randy Oliver :</x:v>
      </x:c>
      <x:c r="F152" s="508" t="str">
        <x:v>Randy Oliver :</x:v>
      </x:c>
      <x:c r="G152" s="508" t="str">
        <x:v>Randy Oliver :</x:v>
      </x:c>
      <x:c r="H152" s="508" t="str">
        <x:v>Randy Oliver :</x:v>
      </x:c>
      <x:c r="I152" s="508" t="str">
        <x:v>Randy Oliver :</x:v>
      </x:c>
      <x:c r="J152" s="508" t="str">
        <x:v>Randy Oliver :</x:v>
      </x:c>
      <x:c r="K152" s="508" t="str">
        <x:v>Randy Oliver :</x:v>
      </x:c>
      <x:c r="L152" s="508" t="str">
        <x:v>Randy Oliver :</x:v>
      </x:c>
      <x:c r="M152" s="508" t="str">
        <x:v>Randy Oliver :</x:v>
      </x:c>
    </x:row>
    <x:row r="153" ht="41.599998474121094" customHeight="1">
      <x:c r="A153" s="498"/>
      <x:c r="B153" s="508" t="str">
        <x:v>Ce calcul est au cœur du modèle, car il permet de calculer à la fois le taux logarithmique quotidien r et le pourcentage de varroas phorétiques pendant la période indiquée.</x:v>
      </x:c>
      <x:c r="C153" s="508" t="str">
        <x:v>Ce calcul est au cœur du modèle, car il permet de calculer à la fois le taux logarithmique quotidien r et le pourcentage de varroas phorétiques pendant la période indiquée.</x:v>
      </x:c>
      <x:c r="D153" s="508" t="str">
        <x:v>Ce calcul est au cœur du modèle, car il permet de calculer à la fois le taux logarithmique quotidien r et le pourcentage de varroas phorétiques pendant la période indiquée.</x:v>
      </x:c>
      <x:c r="E153" s="508" t="str">
        <x:v>Ce calcul est au cœur du modèle, car il permet de calculer à la fois le taux logarithmique quotidien r et le pourcentage de varroas phorétiques pendant la période indiquée.</x:v>
      </x:c>
      <x:c r="F153" s="508" t="str">
        <x:v>Ce calcul est au cœur du modèle, car il permet de calculer à la fois le taux logarithmique quotidien r et le pourcentage de varroas phorétiques pendant la période indiquée.</x:v>
      </x:c>
      <x:c r="G153" s="508" t="str">
        <x:v>Ce calcul est au cœur du modèle, car il permet de calculer à la fois le taux logarithmique quotidien r et le pourcentage de varroas phorétiques pendant la période indiquée.</x:v>
      </x:c>
      <x:c r="H153" s="508" t="str">
        <x:v>Ce calcul est au cœur du modèle, car il permet de calculer à la fois le taux logarithmique quotidien r et le pourcentage de varroas phorétiques pendant la période indiquée.</x:v>
      </x:c>
      <x:c r="I153" s="508" t="str">
        <x:v>Ce calcul est au cœur du modèle, car il permet de calculer à la fois le taux logarithmique quotidien r et le pourcentage de varroas phorétiques pendant la période indiquée.</x:v>
      </x:c>
      <x:c r="J153" s="508" t="str">
        <x:v>Ce calcul est au cœur du modèle, car il permet de calculer à la fois le taux logarithmique quotidien r et le pourcentage de varroas phorétiques pendant la période indiquée.</x:v>
      </x:c>
      <x:c r="K153" s="508" t="str">
        <x:v>Ce calcul est au cœur du modèle, car il permet de calculer à la fois le taux logarithmique quotidien r et le pourcentage de varroas phorétiques pendant la période indiquée.</x:v>
      </x:c>
      <x:c r="L153" s="508" t="str">
        <x:v>Ce calcul est au cœur du modèle, car il permet de calculer à la fois le taux logarithmique quotidien r et le pourcentage de varroas phorétiques pendant la période indiquée.</x:v>
      </x:c>
      <x:c r="M153" s="508" t="str">
        <x:v>Ce calcul est au cœur du modèle, car il permet de calculer à la fois le taux logarithmique quotidien r et le pourcentage de varroas phorétiques pendant la période indiquée.</x:v>
      </x:c>
    </x:row>
    <x:row r="154" ht="18" customHeight="1">
      <x:c r="A154" s="498"/>
      <x:c r="B154" s="498"/>
      <x:c r="C154" s="498"/>
      <x:c r="D154" s="498"/>
      <x:c r="E154" s="498"/>
      <x:c r="F154" s="498"/>
      <x:c r="G154" s="498"/>
      <x:c r="H154" s="498"/>
      <x:c r="I154" s="498"/>
      <x:c r="J154" s="498"/>
      <x:c r="K154" s="498"/>
      <x:c r="L154" s="498"/>
      <x:c r="M154" s="498"/>
    </x:row>
    <x:row r="155" ht="18" customHeight="1">
      <x:c r="A155" s="498"/>
      <x:c r="B155" s="529" t="str">
        <x:v>Note de calcul — Randy Oliver · CD3</x:v>
      </x:c>
      <x:c r="C155" s="529" t="str">
        <x:v>Note de calcul — Randy Oliver · CD3</x:v>
      </x:c>
      <x:c r="D155" s="529" t="str">
        <x:v>Note de calcul — Randy Oliver · CD3</x:v>
      </x:c>
      <x:c r="E155" s="529" t="str">
        <x:v>Note de calcul — Randy Oliver · CD3</x:v>
      </x:c>
      <x:c r="F155" s="529" t="str">
        <x:v>Note de calcul — Randy Oliver · CD3</x:v>
      </x:c>
      <x:c r="G155" s="529" t="str">
        <x:v>Note de calcul — Randy Oliver · CD3</x:v>
      </x:c>
      <x:c r="H155" s="529" t="str">
        <x:v>Note de calcul — Randy Oliver · CD3</x:v>
      </x:c>
      <x:c r="I155" s="529" t="str">
        <x:v>Note de calcul — Randy Oliver · CD3</x:v>
      </x:c>
      <x:c r="J155" s="529" t="str">
        <x:v>Note de calcul — Randy Oliver · CD3</x:v>
      </x:c>
      <x:c r="K155" s="529" t="str">
        <x:v>Note de calcul — Randy Oliver · CD3</x:v>
      </x:c>
      <x:c r="L155" s="529" t="str">
        <x:v>Note de calcul — Randy Oliver · CD3</x:v>
      </x:c>
      <x:c r="M155" s="529" t="str">
        <x:v>Note de calcul — Randy Oliver · CD3</x:v>
      </x:c>
    </x:row>
    <x:row r="156" ht="31" customHeight="1">
      <x:c r="A156" s="498"/>
      <x:c r="B156" s="508" t="str">
        <x:v>Randy Oliver :</x:v>
      </x:c>
      <x:c r="C156" s="508" t="str">
        <x:v>Randy Oliver :</x:v>
      </x:c>
      <x:c r="D156" s="508" t="str">
        <x:v>Randy Oliver :</x:v>
      </x:c>
      <x:c r="E156" s="508" t="str">
        <x:v>Randy Oliver :</x:v>
      </x:c>
      <x:c r="F156" s="508" t="str">
        <x:v>Randy Oliver :</x:v>
      </x:c>
      <x:c r="G156" s="508" t="str">
        <x:v>Randy Oliver :</x:v>
      </x:c>
      <x:c r="H156" s="508" t="str">
        <x:v>Randy Oliver :</x:v>
      </x:c>
      <x:c r="I156" s="508" t="str">
        <x:v>Randy Oliver :</x:v>
      </x:c>
      <x:c r="J156" s="508" t="str">
        <x:v>Randy Oliver :</x:v>
      </x:c>
      <x:c r="K156" s="508" t="str">
        <x:v>Randy Oliver :</x:v>
      </x:c>
      <x:c r="L156" s="508" t="str">
        <x:v>Randy Oliver :</x:v>
      </x:c>
      <x:c r="M156" s="508" t="str">
        <x:v>Randy Oliver :</x:v>
      </x:c>
    </x:row>
    <x:row r="157" ht="31" customHeight="1">
      <x:c r="A157" s="498"/>
      <x:c r="B157" s="508" t="str">
        <x:v>Hypothèse : 12 jours sous opercule ; 20 jours au total.</x:v>
      </x:c>
      <x:c r="C157" s="508" t="str">
        <x:v>Hypothèse : 12 jours sous opercule ; 20 jours au total.</x:v>
      </x:c>
      <x:c r="D157" s="508" t="str">
        <x:v>Hypothèse : 12 jours sous opercule ; 20 jours au total.</x:v>
      </x:c>
      <x:c r="E157" s="508" t="str">
        <x:v>Hypothèse : 12 jours sous opercule ; 20 jours au total.</x:v>
      </x:c>
      <x:c r="F157" s="508" t="str">
        <x:v>Hypothèse : 12 jours sous opercule ; 20 jours au total.</x:v>
      </x:c>
      <x:c r="G157" s="508" t="str">
        <x:v>Hypothèse : 12 jours sous opercule ; 20 jours au total.</x:v>
      </x:c>
      <x:c r="H157" s="508" t="str">
        <x:v>Hypothèse : 12 jours sous opercule ; 20 jours au total.</x:v>
      </x:c>
      <x:c r="I157" s="508" t="str">
        <x:v>Hypothèse : 12 jours sous opercule ; 20 jours au total.</x:v>
      </x:c>
      <x:c r="J157" s="508" t="str">
        <x:v>Hypothèse : 12 jours sous opercule ; 20 jours au total.</x:v>
      </x:c>
      <x:c r="K157" s="508" t="str">
        <x:v>Hypothèse : 12 jours sous opercule ; 20 jours au total.</x:v>
      </x:c>
      <x:c r="L157" s="508" t="str">
        <x:v>Hypothèse : 12 jours sous opercule ; 20 jours au total.</x:v>
      </x:c>
      <x:c r="M157" s="508" t="str">
        <x:v>Hypothèse : 12 jours sous opercule ; 20 jours au total.</x:v>
      </x:c>
    </x:row>
    <x:row r="158" ht="18" customHeight="1">
      <x:c r="A158" s="498"/>
      <x:c r="B158" s="498"/>
      <x:c r="C158" s="498"/>
      <x:c r="D158" s="498"/>
      <x:c r="E158" s="498"/>
      <x:c r="F158" s="498"/>
      <x:c r="G158" s="498"/>
      <x:c r="H158" s="498"/>
      <x:c r="I158" s="498"/>
      <x:c r="J158" s="498"/>
      <x:c r="K158" s="498"/>
      <x:c r="L158" s="498"/>
      <x:c r="M158" s="498"/>
    </x:row>
    <x:row r="159" ht="18" customHeight="1">
      <x:c r="A159" s="498"/>
      <x:c r="B159" s="529" t="str">
        <x:v>Note de calcul — Randy Oliver · CF3</x:v>
      </x:c>
      <x:c r="C159" s="529" t="str">
        <x:v>Note de calcul — Randy Oliver · CF3</x:v>
      </x:c>
      <x:c r="D159" s="529" t="str">
        <x:v>Note de calcul — Randy Oliver · CF3</x:v>
      </x:c>
      <x:c r="E159" s="529" t="str">
        <x:v>Note de calcul — Randy Oliver · CF3</x:v>
      </x:c>
      <x:c r="F159" s="529" t="str">
        <x:v>Note de calcul — Randy Oliver · CF3</x:v>
      </x:c>
      <x:c r="G159" s="529" t="str">
        <x:v>Note de calcul — Randy Oliver · CF3</x:v>
      </x:c>
      <x:c r="H159" s="529" t="str">
        <x:v>Note de calcul — Randy Oliver · CF3</x:v>
      </x:c>
      <x:c r="I159" s="529" t="str">
        <x:v>Note de calcul — Randy Oliver · CF3</x:v>
      </x:c>
      <x:c r="J159" s="529" t="str">
        <x:v>Note de calcul — Randy Oliver · CF3</x:v>
      </x:c>
      <x:c r="K159" s="529" t="str">
        <x:v>Note de calcul — Randy Oliver · CF3</x:v>
      </x:c>
      <x:c r="L159" s="529" t="str">
        <x:v>Note de calcul — Randy Oliver · CF3</x:v>
      </x:c>
      <x:c r="M159" s="529" t="str">
        <x:v>Note de calcul — Randy Oliver · CF3</x:v>
      </x:c>
    </x:row>
    <x:row r="160" ht="31" customHeight="1">
      <x:c r="A160" s="498"/>
      <x:c r="B160" s="508" t="str">
        <x:v>Randy Oliver :</x:v>
      </x:c>
      <x:c r="C160" s="508" t="str">
        <x:v>Randy Oliver :</x:v>
      </x:c>
      <x:c r="D160" s="508" t="str">
        <x:v>Randy Oliver :</x:v>
      </x:c>
      <x:c r="E160" s="508" t="str">
        <x:v>Randy Oliver :</x:v>
      </x:c>
      <x:c r="F160" s="508" t="str">
        <x:v>Randy Oliver :</x:v>
      </x:c>
      <x:c r="G160" s="508" t="str">
        <x:v>Randy Oliver :</x:v>
      </x:c>
      <x:c r="H160" s="508" t="str">
        <x:v>Randy Oliver :</x:v>
      </x:c>
      <x:c r="I160" s="508" t="str">
        <x:v>Randy Oliver :</x:v>
      </x:c>
      <x:c r="J160" s="508" t="str">
        <x:v>Randy Oliver :</x:v>
      </x:c>
      <x:c r="K160" s="508" t="str">
        <x:v>Randy Oliver :</x:v>
      </x:c>
      <x:c r="L160" s="508" t="str">
        <x:v>Randy Oliver :</x:v>
      </x:c>
      <x:c r="M160" s="508" t="str">
        <x:v>Randy Oliver :</x:v>
      </x:c>
    </x:row>
    <x:row r="161" ht="56.400001525878906" customHeight="1">
      <x:c r="A161" s="498"/>
      <x:c r="B161" s="508" t="str">
        <x:v>Le pourcentage de cellules de mâles mesuré en surface surestime leur nombre réel, car une surface d’environ 6,45 cm² (1 pouce carré dans l’original) contient approximativement 25 cellules d’ouvrières, mais seulement environ 16 cellules de mâles.</x:v>
      </x:c>
      <x:c r="C161" s="508" t="str">
        <x:v>Le pourcentage de cellules de mâles mesuré en surface surestime leur nombre réel, car une surface d’environ 6,45 cm² (1 pouce carré dans l’original) contient approximativement 25 cellules d’ouvrières, mais seulement environ 16 cellules de mâles.</x:v>
      </x:c>
      <x:c r="D161" s="508" t="str">
        <x:v>Le pourcentage de cellules de mâles mesuré en surface surestime leur nombre réel, car une surface d’environ 6,45 cm² (1 pouce carré dans l’original) contient approximativement 25 cellules d’ouvrières, mais seulement environ 16 cellules de mâles.</x:v>
      </x:c>
      <x:c r="E161" s="508" t="str">
        <x:v>Le pourcentage de cellules de mâles mesuré en surface surestime leur nombre réel, car une surface d’environ 6,45 cm² (1 pouce carré dans l’original) contient approximativement 25 cellules d’ouvrières, mais seulement environ 16 cellules de mâles.</x:v>
      </x:c>
      <x:c r="F161" s="508" t="str">
        <x:v>Le pourcentage de cellules de mâles mesuré en surface surestime leur nombre réel, car une surface d’environ 6,45 cm² (1 pouce carré dans l’original) contient approximativement 25 cellules d’ouvrières, mais seulement environ 16 cellules de mâles.</x:v>
      </x:c>
      <x:c r="G161" s="508" t="str">
        <x:v>Le pourcentage de cellules de mâles mesuré en surface surestime leur nombre réel, car une surface d’environ 6,45 cm² (1 pouce carré dans l’original) contient approximativement 25 cellules d’ouvrières, mais seulement environ 16 cellules de mâles.</x:v>
      </x:c>
      <x:c r="H161" s="508" t="str">
        <x:v>Le pourcentage de cellules de mâles mesuré en surface surestime leur nombre réel, car une surface d’environ 6,45 cm² (1 pouce carré dans l’original) contient approximativement 25 cellules d’ouvrières, mais seulement environ 16 cellules de mâles.</x:v>
      </x:c>
      <x:c r="I161" s="508" t="str">
        <x:v>Le pourcentage de cellules de mâles mesuré en surface surestime leur nombre réel, car une surface d’environ 6,45 cm² (1 pouce carré dans l’original) contient approximativement 25 cellules d’ouvrières, mais seulement environ 16 cellules de mâles.</x:v>
      </x:c>
      <x:c r="J161" s="508" t="str">
        <x:v>Le pourcentage de cellules de mâles mesuré en surface surestime leur nombre réel, car une surface d’environ 6,45 cm² (1 pouce carré dans l’original) contient approximativement 25 cellules d’ouvrières, mais seulement environ 16 cellules de mâles.</x:v>
      </x:c>
      <x:c r="K161" s="508" t="str">
        <x:v>Le pourcentage de cellules de mâles mesuré en surface surestime leur nombre réel, car une surface d’environ 6,45 cm² (1 pouce carré dans l’original) contient approximativement 25 cellules d’ouvrières, mais seulement environ 16 cellules de mâles.</x:v>
      </x:c>
      <x:c r="L161" s="508" t="str">
        <x:v>Le pourcentage de cellules de mâles mesuré en surface surestime leur nombre réel, car une surface d’environ 6,45 cm² (1 pouce carré dans l’original) contient approximativement 25 cellules d’ouvrières, mais seulement environ 16 cellules de mâles.</x:v>
      </x:c>
      <x:c r="M161" s="508" t="str">
        <x:v>Le pourcentage de cellules de mâles mesuré en surface surestime leur nombre réel, car une surface d’environ 6,45 cm² (1 pouce carré dans l’original) contient approximativement 25 cellules d’ouvrières, mais seulement environ 16 cellules de mâles.</x:v>
      </x:c>
    </x:row>
    <x:row r="162" ht="18" customHeight="1">
      <x:c r="A162" s="498"/>
      <x:c r="B162" s="498"/>
      <x:c r="C162" s="498"/>
      <x:c r="D162" s="498"/>
      <x:c r="E162" s="498"/>
      <x:c r="F162" s="498"/>
      <x:c r="G162" s="498"/>
      <x:c r="H162" s="498"/>
      <x:c r="I162" s="498"/>
      <x:c r="J162" s="498"/>
      <x:c r="K162" s="498"/>
      <x:c r="L162" s="498"/>
      <x:c r="M162" s="498"/>
    </x:row>
    <x:row r="163" ht="18" customHeight="1">
      <x:c r="A163" s="498"/>
      <x:c r="B163" s="529" t="str">
        <x:v>Note de calcul — Randy Oliver · CK3</x:v>
      </x:c>
      <x:c r="C163" s="529" t="str">
        <x:v>Note de calcul — Randy Oliver · CK3</x:v>
      </x:c>
      <x:c r="D163" s="529" t="str">
        <x:v>Note de calcul — Randy Oliver · CK3</x:v>
      </x:c>
      <x:c r="E163" s="529" t="str">
        <x:v>Note de calcul — Randy Oliver · CK3</x:v>
      </x:c>
      <x:c r="F163" s="529" t="str">
        <x:v>Note de calcul — Randy Oliver · CK3</x:v>
      </x:c>
      <x:c r="G163" s="529" t="str">
        <x:v>Note de calcul — Randy Oliver · CK3</x:v>
      </x:c>
      <x:c r="H163" s="529" t="str">
        <x:v>Note de calcul — Randy Oliver · CK3</x:v>
      </x:c>
      <x:c r="I163" s="529" t="str">
        <x:v>Note de calcul — Randy Oliver · CK3</x:v>
      </x:c>
      <x:c r="J163" s="529" t="str">
        <x:v>Note de calcul — Randy Oliver · CK3</x:v>
      </x:c>
      <x:c r="K163" s="529" t="str">
        <x:v>Note de calcul — Randy Oliver · CK3</x:v>
      </x:c>
      <x:c r="L163" s="529" t="str">
        <x:v>Note de calcul — Randy Oliver · CK3</x:v>
      </x:c>
      <x:c r="M163" s="529" t="str">
        <x:v>Note de calcul — Randy Oliver · CK3</x:v>
      </x:c>
    </x:row>
    <x:row r="164" ht="31" customHeight="1">
      <x:c r="A164" s="498"/>
      <x:c r="B164" s="508" t="str">
        <x:v>Randy Oliver :</x:v>
      </x:c>
      <x:c r="C164" s="508" t="str">
        <x:v>Randy Oliver :</x:v>
      </x:c>
      <x:c r="D164" s="508" t="str">
        <x:v>Randy Oliver :</x:v>
      </x:c>
      <x:c r="E164" s="508" t="str">
        <x:v>Randy Oliver :</x:v>
      </x:c>
      <x:c r="F164" s="508" t="str">
        <x:v>Randy Oliver :</x:v>
      </x:c>
      <x:c r="G164" s="508" t="str">
        <x:v>Randy Oliver :</x:v>
      </x:c>
      <x:c r="H164" s="508" t="str">
        <x:v>Randy Oliver :</x:v>
      </x:c>
      <x:c r="I164" s="508" t="str">
        <x:v>Randy Oliver :</x:v>
      </x:c>
      <x:c r="J164" s="508" t="str">
        <x:v>Randy Oliver :</x:v>
      </x:c>
      <x:c r="K164" s="508" t="str">
        <x:v>Randy Oliver :</x:v>
      </x:c>
      <x:c r="L164" s="508" t="str">
        <x:v>Randy Oliver :</x:v>
      </x:c>
      <x:c r="M164" s="508" t="str">
        <x:v>Randy Oliver :</x:v>
      </x:c>
    </x:row>
    <x:row r="165" ht="41.599998474121094" customHeight="1">
      <x:c r="A165" s="498"/>
      <x:c r="B165" s="508" t="str">
        <x:v>Estimation obtenue en retranchant le pourcentage de cellules ne contenant aucun varroa, sur la base de la loi de Poisson.</x:v>
      </x:c>
      <x:c r="C165" s="508" t="str">
        <x:v>Estimation obtenue en retranchant le pourcentage de cellules ne contenant aucun varroa, sur la base de la loi de Poisson.</x:v>
      </x:c>
      <x:c r="D165" s="508" t="str">
        <x:v>Estimation obtenue en retranchant le pourcentage de cellules ne contenant aucun varroa, sur la base de la loi de Poisson.</x:v>
      </x:c>
      <x:c r="E165" s="508" t="str">
        <x:v>Estimation obtenue en retranchant le pourcentage de cellules ne contenant aucun varroa, sur la base de la loi de Poisson.</x:v>
      </x:c>
      <x:c r="F165" s="508" t="str">
        <x:v>Estimation obtenue en retranchant le pourcentage de cellules ne contenant aucun varroa, sur la base de la loi de Poisson.</x:v>
      </x:c>
      <x:c r="G165" s="508" t="str">
        <x:v>Estimation obtenue en retranchant le pourcentage de cellules ne contenant aucun varroa, sur la base de la loi de Poisson.</x:v>
      </x:c>
      <x:c r="H165" s="508" t="str">
        <x:v>Estimation obtenue en retranchant le pourcentage de cellules ne contenant aucun varroa, sur la base de la loi de Poisson.</x:v>
      </x:c>
      <x:c r="I165" s="508" t="str">
        <x:v>Estimation obtenue en retranchant le pourcentage de cellules ne contenant aucun varroa, sur la base de la loi de Poisson.</x:v>
      </x:c>
      <x:c r="J165" s="508" t="str">
        <x:v>Estimation obtenue en retranchant le pourcentage de cellules ne contenant aucun varroa, sur la base de la loi de Poisson.</x:v>
      </x:c>
      <x:c r="K165" s="508" t="str">
        <x:v>Estimation obtenue en retranchant le pourcentage de cellules ne contenant aucun varroa, sur la base de la loi de Poisson.</x:v>
      </x:c>
      <x:c r="L165" s="508" t="str">
        <x:v>Estimation obtenue en retranchant le pourcentage de cellules ne contenant aucun varroa, sur la base de la loi de Poisson.</x:v>
      </x:c>
      <x:c r="M165" s="508" t="str">
        <x:v>Estimation obtenue en retranchant le pourcentage de cellules ne contenant aucun varroa, sur la base de la loi de Poisson.</x:v>
      </x:c>
    </x:row>
    <x:row r="166" ht="18" customHeight="1">
      <x:c r="A166" s="498"/>
      <x:c r="B166" s="498"/>
      <x:c r="C166" s="498"/>
      <x:c r="D166" s="498"/>
      <x:c r="E166" s="498"/>
      <x:c r="F166" s="498"/>
      <x:c r="G166" s="498"/>
      <x:c r="H166" s="498"/>
      <x:c r="I166" s="498"/>
      <x:c r="J166" s="498"/>
      <x:c r="K166" s="498"/>
      <x:c r="L166" s="498"/>
      <x:c r="M166" s="498"/>
    </x:row>
    <x:row r="167" ht="18" customHeight="1">
      <x:c r="A167" s="498"/>
      <x:c r="B167" s="529" t="str">
        <x:v>Note de calcul — Randy Oliver · CL3</x:v>
      </x:c>
      <x:c r="C167" s="529" t="str">
        <x:v>Note de calcul — Randy Oliver · CL3</x:v>
      </x:c>
      <x:c r="D167" s="529" t="str">
        <x:v>Note de calcul — Randy Oliver · CL3</x:v>
      </x:c>
      <x:c r="E167" s="529" t="str">
        <x:v>Note de calcul — Randy Oliver · CL3</x:v>
      </x:c>
      <x:c r="F167" s="529" t="str">
        <x:v>Note de calcul — Randy Oliver · CL3</x:v>
      </x:c>
      <x:c r="G167" s="529" t="str">
        <x:v>Note de calcul — Randy Oliver · CL3</x:v>
      </x:c>
      <x:c r="H167" s="529" t="str">
        <x:v>Note de calcul — Randy Oliver · CL3</x:v>
      </x:c>
      <x:c r="I167" s="529" t="str">
        <x:v>Note de calcul — Randy Oliver · CL3</x:v>
      </x:c>
      <x:c r="J167" s="529" t="str">
        <x:v>Note de calcul — Randy Oliver · CL3</x:v>
      </x:c>
      <x:c r="K167" s="529" t="str">
        <x:v>Note de calcul — Randy Oliver · CL3</x:v>
      </x:c>
      <x:c r="L167" s="529" t="str">
        <x:v>Note de calcul — Randy Oliver · CL3</x:v>
      </x:c>
      <x:c r="M167" s="529" t="str">
        <x:v>Note de calcul — Randy Oliver · CL3</x:v>
      </x:c>
    </x:row>
    <x:row r="168" ht="31" customHeight="1">
      <x:c r="A168" s="498"/>
      <x:c r="B168" s="508" t="str">
        <x:v>Randy Oliver :</x:v>
      </x:c>
      <x:c r="C168" s="508" t="str">
        <x:v>Randy Oliver :</x:v>
      </x:c>
      <x:c r="D168" s="508" t="str">
        <x:v>Randy Oliver :</x:v>
      </x:c>
      <x:c r="E168" s="508" t="str">
        <x:v>Randy Oliver :</x:v>
      </x:c>
      <x:c r="F168" s="508" t="str">
        <x:v>Randy Oliver :</x:v>
      </x:c>
      <x:c r="G168" s="508" t="str">
        <x:v>Randy Oliver :</x:v>
      </x:c>
      <x:c r="H168" s="508" t="str">
        <x:v>Randy Oliver :</x:v>
      </x:c>
      <x:c r="I168" s="508" t="str">
        <x:v>Randy Oliver :</x:v>
      </x:c>
      <x:c r="J168" s="508" t="str">
        <x:v>Randy Oliver :</x:v>
      </x:c>
      <x:c r="K168" s="508" t="str">
        <x:v>Randy Oliver :</x:v>
      </x:c>
      <x:c r="L168" s="508" t="str">
        <x:v>Randy Oliver :</x:v>
      </x:c>
      <x:c r="M168" s="508" t="str">
        <x:v>Randy Oliver :</x:v>
      </x:c>
    </x:row>
    <x:row r="169" ht="31" customHeight="1">
      <x:c r="A169" s="498"/>
      <x:c r="B169" s="508" t="str">
        <x:v>Voir le commentaire de la colonne BS.</x:v>
      </x:c>
      <x:c r="C169" s="508" t="str">
        <x:v>Voir le commentaire de la colonne BS.</x:v>
      </x:c>
      <x:c r="D169" s="508" t="str">
        <x:v>Voir le commentaire de la colonne BS.</x:v>
      </x:c>
      <x:c r="E169" s="508" t="str">
        <x:v>Voir le commentaire de la colonne BS.</x:v>
      </x:c>
      <x:c r="F169" s="508" t="str">
        <x:v>Voir le commentaire de la colonne BS.</x:v>
      </x:c>
      <x:c r="G169" s="508" t="str">
        <x:v>Voir le commentaire de la colonne BS.</x:v>
      </x:c>
      <x:c r="H169" s="508" t="str">
        <x:v>Voir le commentaire de la colonne BS.</x:v>
      </x:c>
      <x:c r="I169" s="508" t="str">
        <x:v>Voir le commentaire de la colonne BS.</x:v>
      </x:c>
      <x:c r="J169" s="508" t="str">
        <x:v>Voir le commentaire de la colonne BS.</x:v>
      </x:c>
      <x:c r="K169" s="508" t="str">
        <x:v>Voir le commentaire de la colonne BS.</x:v>
      </x:c>
      <x:c r="L169" s="508" t="str">
        <x:v>Voir le commentaire de la colonne BS.</x:v>
      </x:c>
      <x:c r="M169" s="508" t="str">
        <x:v>Voir le commentaire de la colonne BS.</x:v>
      </x:c>
    </x:row>
    <x:row r="170" ht="18" customHeight="1">
      <x:c r="A170" s="498"/>
      <x:c r="B170" s="498"/>
      <x:c r="C170" s="498"/>
      <x:c r="D170" s="498"/>
      <x:c r="E170" s="498"/>
      <x:c r="F170" s="498"/>
      <x:c r="G170" s="498"/>
      <x:c r="H170" s="498"/>
      <x:c r="I170" s="498"/>
      <x:c r="J170" s="498"/>
      <x:c r="K170" s="498"/>
      <x:c r="L170" s="498"/>
      <x:c r="M170" s="498"/>
    </x:row>
    <x:row r="171" ht="18" customHeight="1">
      <x:c r="A171" s="498"/>
      <x:c r="B171" s="529" t="str">
        <x:v>Note de calcul — Randy Oliver · CM3</x:v>
      </x:c>
      <x:c r="C171" s="529" t="str">
        <x:v>Note de calcul — Randy Oliver · CM3</x:v>
      </x:c>
      <x:c r="D171" s="529" t="str">
        <x:v>Note de calcul — Randy Oliver · CM3</x:v>
      </x:c>
      <x:c r="E171" s="529" t="str">
        <x:v>Note de calcul — Randy Oliver · CM3</x:v>
      </x:c>
      <x:c r="F171" s="529" t="str">
        <x:v>Note de calcul — Randy Oliver · CM3</x:v>
      </x:c>
      <x:c r="G171" s="529" t="str">
        <x:v>Note de calcul — Randy Oliver · CM3</x:v>
      </x:c>
      <x:c r="H171" s="529" t="str">
        <x:v>Note de calcul — Randy Oliver · CM3</x:v>
      </x:c>
      <x:c r="I171" s="529" t="str">
        <x:v>Note de calcul — Randy Oliver · CM3</x:v>
      </x:c>
      <x:c r="J171" s="529" t="str">
        <x:v>Note de calcul — Randy Oliver · CM3</x:v>
      </x:c>
      <x:c r="K171" s="529" t="str">
        <x:v>Note de calcul — Randy Oliver · CM3</x:v>
      </x:c>
      <x:c r="L171" s="529" t="str">
        <x:v>Note de calcul — Randy Oliver · CM3</x:v>
      </x:c>
      <x:c r="M171" s="529" t="str">
        <x:v>Note de calcul — Randy Oliver · CM3</x:v>
      </x:c>
    </x:row>
    <x:row r="172" ht="31" customHeight="1">
      <x:c r="A172" s="498"/>
      <x:c r="B172" s="508" t="str">
        <x:v>Randy Oliver :</x:v>
      </x:c>
      <x:c r="C172" s="508" t="str">
        <x:v>Randy Oliver :</x:v>
      </x:c>
      <x:c r="D172" s="508" t="str">
        <x:v>Randy Oliver :</x:v>
      </x:c>
      <x:c r="E172" s="508" t="str">
        <x:v>Randy Oliver :</x:v>
      </x:c>
      <x:c r="F172" s="508" t="str">
        <x:v>Randy Oliver :</x:v>
      </x:c>
      <x:c r="G172" s="508" t="str">
        <x:v>Randy Oliver :</x:v>
      </x:c>
      <x:c r="H172" s="508" t="str">
        <x:v>Randy Oliver :</x:v>
      </x:c>
      <x:c r="I172" s="508" t="str">
        <x:v>Randy Oliver :</x:v>
      </x:c>
      <x:c r="J172" s="508" t="str">
        <x:v>Randy Oliver :</x:v>
      </x:c>
      <x:c r="K172" s="508" t="str">
        <x:v>Randy Oliver :</x:v>
      </x:c>
      <x:c r="L172" s="508" t="str">
        <x:v>Randy Oliver :</x:v>
      </x:c>
      <x:c r="M172" s="508" t="str">
        <x:v>Randy Oliver :</x:v>
      </x:c>
    </x:row>
    <x:row r="173" ht="31" customHeight="1">
      <x:c r="A173" s="498"/>
      <x:c r="B173" s="508" t="str">
        <x:v>Suppose 15 jours dans le couvain</x:v>
      </x:c>
      <x:c r="C173" s="508" t="str">
        <x:v>Suppose 15 jours dans le couvain</x:v>
      </x:c>
      <x:c r="D173" s="508" t="str">
        <x:v>Suppose 15 jours dans le couvain</x:v>
      </x:c>
      <x:c r="E173" s="508" t="str">
        <x:v>Suppose 15 jours dans le couvain</x:v>
      </x:c>
      <x:c r="F173" s="508" t="str">
        <x:v>Suppose 15 jours dans le couvain</x:v>
      </x:c>
      <x:c r="G173" s="508" t="str">
        <x:v>Suppose 15 jours dans le couvain</x:v>
      </x:c>
      <x:c r="H173" s="508" t="str">
        <x:v>Suppose 15 jours dans le couvain</x:v>
      </x:c>
      <x:c r="I173" s="508" t="str">
        <x:v>Suppose 15 jours dans le couvain</x:v>
      </x:c>
      <x:c r="J173" s="508" t="str">
        <x:v>Suppose 15 jours dans le couvain</x:v>
      </x:c>
      <x:c r="K173" s="508" t="str">
        <x:v>Suppose 15 jours dans le couvain</x:v>
      </x:c>
      <x:c r="L173" s="508" t="str">
        <x:v>Suppose 15 jours dans le couvain</x:v>
      </x:c>
      <x:c r="M173" s="508" t="str">
        <x:v>Suppose 15 jours dans le couvain</x:v>
      </x:c>
    </x:row>
    <x:row r="174" ht="18" customHeight="1">
      <x:c r="A174" s="498"/>
      <x:c r="B174" s="498"/>
      <x:c r="C174" s="498"/>
      <x:c r="D174" s="498"/>
      <x:c r="E174" s="498"/>
      <x:c r="F174" s="498"/>
      <x:c r="G174" s="498"/>
      <x:c r="H174" s="498"/>
      <x:c r="I174" s="498"/>
      <x:c r="J174" s="498"/>
      <x:c r="K174" s="498"/>
      <x:c r="L174" s="498"/>
      <x:c r="M174" s="498"/>
    </x:row>
    <x:row r="175" ht="18" customHeight="1">
      <x:c r="A175" s="498"/>
      <x:c r="B175" s="529" t="str">
        <x:v>Note de calcul — Randy Oliver · CN3</x:v>
      </x:c>
      <x:c r="C175" s="529" t="str">
        <x:v>Note de calcul — Randy Oliver · CN3</x:v>
      </x:c>
      <x:c r="D175" s="529" t="str">
        <x:v>Note de calcul — Randy Oliver · CN3</x:v>
      </x:c>
      <x:c r="E175" s="529" t="str">
        <x:v>Note de calcul — Randy Oliver · CN3</x:v>
      </x:c>
      <x:c r="F175" s="529" t="str">
        <x:v>Note de calcul — Randy Oliver · CN3</x:v>
      </x:c>
      <x:c r="G175" s="529" t="str">
        <x:v>Note de calcul — Randy Oliver · CN3</x:v>
      </x:c>
      <x:c r="H175" s="529" t="str">
        <x:v>Note de calcul — Randy Oliver · CN3</x:v>
      </x:c>
      <x:c r="I175" s="529" t="str">
        <x:v>Note de calcul — Randy Oliver · CN3</x:v>
      </x:c>
      <x:c r="J175" s="529" t="str">
        <x:v>Note de calcul — Randy Oliver · CN3</x:v>
      </x:c>
      <x:c r="K175" s="529" t="str">
        <x:v>Note de calcul — Randy Oliver · CN3</x:v>
      </x:c>
      <x:c r="L175" s="529" t="str">
        <x:v>Note de calcul — Randy Oliver · CN3</x:v>
      </x:c>
      <x:c r="M175" s="529" t="str">
        <x:v>Note de calcul — Randy Oliver · CN3</x:v>
      </x:c>
    </x:row>
    <x:row r="176" ht="31" customHeight="1">
      <x:c r="A176" s="498"/>
      <x:c r="B176" s="508" t="str">
        <x:v>Randy Oliver :</x:v>
      </x:c>
      <x:c r="C176" s="508" t="str">
        <x:v>Randy Oliver :</x:v>
      </x:c>
      <x:c r="D176" s="508" t="str">
        <x:v>Randy Oliver :</x:v>
      </x:c>
      <x:c r="E176" s="508" t="str">
        <x:v>Randy Oliver :</x:v>
      </x:c>
      <x:c r="F176" s="508" t="str">
        <x:v>Randy Oliver :</x:v>
      </x:c>
      <x:c r="G176" s="508" t="str">
        <x:v>Randy Oliver :</x:v>
      </x:c>
      <x:c r="H176" s="508" t="str">
        <x:v>Randy Oliver :</x:v>
      </x:c>
      <x:c r="I176" s="508" t="str">
        <x:v>Randy Oliver :</x:v>
      </x:c>
      <x:c r="J176" s="508" t="str">
        <x:v>Randy Oliver :</x:v>
      </x:c>
      <x:c r="K176" s="508" t="str">
        <x:v>Randy Oliver :</x:v>
      </x:c>
      <x:c r="L176" s="508" t="str">
        <x:v>Randy Oliver :</x:v>
      </x:c>
      <x:c r="M176" s="508" t="str">
        <x:v>Randy Oliver :</x:v>
      </x:c>
    </x:row>
    <x:row r="177" ht="41.599998474121094" customHeight="1">
      <x:c r="A177" s="498"/>
      <x:c r="B177" s="508" t="str">
        <x:v>J’ai supprimé ce calcul en supposant qu’on ne laissera jamais la population de varroas augmenter au point que des invasions par plus de 3 fondatrices se produisent autrement que rarement.</x:v>
      </x:c>
      <x:c r="C177" s="508" t="str">
        <x:v>J’ai supprimé ce calcul en supposant qu’on ne laissera jamais la population de varroas augmenter au point que des invasions par plus de 3 fondatrices se produisent autrement que rarement.</x:v>
      </x:c>
      <x:c r="D177" s="508" t="str">
        <x:v>J’ai supprimé ce calcul en supposant qu’on ne laissera jamais la population de varroas augmenter au point que des invasions par plus de 3 fondatrices se produisent autrement que rarement.</x:v>
      </x:c>
      <x:c r="E177" s="508" t="str">
        <x:v>J’ai supprimé ce calcul en supposant qu’on ne laissera jamais la population de varroas augmenter au point que des invasions par plus de 3 fondatrices se produisent autrement que rarement.</x:v>
      </x:c>
      <x:c r="F177" s="508" t="str">
        <x:v>J’ai supprimé ce calcul en supposant qu’on ne laissera jamais la population de varroas augmenter au point que des invasions par plus de 3 fondatrices se produisent autrement que rarement.</x:v>
      </x:c>
      <x:c r="G177" s="508" t="str">
        <x:v>J’ai supprimé ce calcul en supposant qu’on ne laissera jamais la population de varroas augmenter au point que des invasions par plus de 3 fondatrices se produisent autrement que rarement.</x:v>
      </x:c>
      <x:c r="H177" s="508" t="str">
        <x:v>J’ai supprimé ce calcul en supposant qu’on ne laissera jamais la population de varroas augmenter au point que des invasions par plus de 3 fondatrices se produisent autrement que rarement.</x:v>
      </x:c>
      <x:c r="I177" s="508" t="str">
        <x:v>J’ai supprimé ce calcul en supposant qu’on ne laissera jamais la population de varroas augmenter au point que des invasions par plus de 3 fondatrices se produisent autrement que rarement.</x:v>
      </x:c>
      <x:c r="J177" s="508" t="str">
        <x:v>J’ai supprimé ce calcul en supposant qu’on ne laissera jamais la population de varroas augmenter au point que des invasions par plus de 3 fondatrices se produisent autrement que rarement.</x:v>
      </x:c>
      <x:c r="K177" s="508" t="str">
        <x:v>J’ai supprimé ce calcul en supposant qu’on ne laissera jamais la population de varroas augmenter au point que des invasions par plus de 3 fondatrices se produisent autrement que rarement.</x:v>
      </x:c>
      <x:c r="L177" s="508" t="str">
        <x:v>J’ai supprimé ce calcul en supposant qu’on ne laissera jamais la population de varroas augmenter au point que des invasions par plus de 3 fondatrices se produisent autrement que rarement.</x:v>
      </x:c>
      <x:c r="M177" s="508" t="str">
        <x:v>J’ai supprimé ce calcul en supposant qu’on ne laissera jamais la population de varroas augmenter au point que des invasions par plus de 3 fondatrices se produisent autrement que rarement.</x:v>
      </x:c>
    </x:row>
    <x:row r="178" ht="56.400001525878906" customHeight="1">
      <x:c r="A178" s="498"/>
      <x:c r="B178" s="508" t="str">
        <x:v>S J Martin (1995) Reproduction de Varroa jacobsoni dans des cellules d’Apis mellifera contenant une ou plusieurs femelles fondatrices et répartition de ces cellules, Journal of Apicultural Research, 34:4, 187-196.</x:v>
      </x:c>
      <x:c r="C178" s="508" t="str">
        <x:v>S J Martin (1995) Reproduction de Varroa jacobsoni dans des cellules d’Apis mellifera contenant une ou plusieurs femelles fondatrices et répartition de ces cellules, Journal of Apicultural Research, 34:4, 187-196.</x:v>
      </x:c>
      <x:c r="D178" s="508" t="str">
        <x:v>S J Martin (1995) Reproduction de Varroa jacobsoni dans des cellules d’Apis mellifera contenant une ou plusieurs femelles fondatrices et répartition de ces cellules, Journal of Apicultural Research, 34:4, 187-196.</x:v>
      </x:c>
      <x:c r="E178" s="508" t="str">
        <x:v>S J Martin (1995) Reproduction de Varroa jacobsoni dans des cellules d’Apis mellifera contenant une ou plusieurs femelles fondatrices et répartition de ces cellules, Journal of Apicultural Research, 34:4, 187-196.</x:v>
      </x:c>
      <x:c r="F178" s="508" t="str">
        <x:v>S J Martin (1995) Reproduction de Varroa jacobsoni dans des cellules d’Apis mellifera contenant une ou plusieurs femelles fondatrices et répartition de ces cellules, Journal of Apicultural Research, 34:4, 187-196.</x:v>
      </x:c>
      <x:c r="G178" s="508" t="str">
        <x:v>S J Martin (1995) Reproduction de Varroa jacobsoni dans des cellules d’Apis mellifera contenant une ou plusieurs femelles fondatrices et répartition de ces cellules, Journal of Apicultural Research, 34:4, 187-196.</x:v>
      </x:c>
      <x:c r="H178" s="508" t="str">
        <x:v>S J Martin (1995) Reproduction de Varroa jacobsoni dans des cellules d’Apis mellifera contenant une ou plusieurs femelles fondatrices et répartition de ces cellules, Journal of Apicultural Research, 34:4, 187-196.</x:v>
      </x:c>
      <x:c r="I178" s="508" t="str">
        <x:v>S J Martin (1995) Reproduction de Varroa jacobsoni dans des cellules d’Apis mellifera contenant une ou plusieurs femelles fondatrices et répartition de ces cellules, Journal of Apicultural Research, 34:4, 187-196.</x:v>
      </x:c>
      <x:c r="J178" s="508" t="str">
        <x:v>S J Martin (1995) Reproduction de Varroa jacobsoni dans des cellules d’Apis mellifera contenant une ou plusieurs femelles fondatrices et répartition de ces cellules, Journal of Apicultural Research, 34:4, 187-196.</x:v>
      </x:c>
      <x:c r="K178" s="508" t="str">
        <x:v>S J Martin (1995) Reproduction de Varroa jacobsoni dans des cellules d’Apis mellifera contenant une ou plusieurs femelles fondatrices et répartition de ces cellules, Journal of Apicultural Research, 34:4, 187-196.</x:v>
      </x:c>
      <x:c r="L178" s="508" t="str">
        <x:v>S J Martin (1995) Reproduction de Varroa jacobsoni dans des cellules d’Apis mellifera contenant une ou plusieurs femelles fondatrices et répartition de ces cellules, Journal of Apicultural Research, 34:4, 187-196.</x:v>
      </x:c>
      <x:c r="M178" s="508" t="str">
        <x:v>S J Martin (1995) Reproduction de Varroa jacobsoni dans des cellules d’Apis mellifera contenant une ou plusieurs femelles fondatrices et répartition de ces cellules, Journal of Apicultural Research, 34:4, 187-196.</x:v>
      </x:c>
    </x:row>
    <x:row r="179" ht="31" customHeight="1">
      <x:c r="A179" s="498"/>
      <x:c r="B179" s="508" t="str">
        <x:v>Sources de données (à valider)</x:v>
      </x:c>
      <x:c r="C179" s="508" t="str">
        <x:v>Sources de données (à valider)</x:v>
      </x:c>
      <x:c r="D179" s="508" t="str">
        <x:v>Sources de données (à valider)</x:v>
      </x:c>
      <x:c r="E179" s="508" t="str">
        <x:v>Sources de données (à valider)</x:v>
      </x:c>
      <x:c r="F179" s="508" t="str">
        <x:v>Sources de données (à valider)</x:v>
      </x:c>
      <x:c r="G179" s="508" t="str">
        <x:v>Sources de données (à valider)</x:v>
      </x:c>
      <x:c r="H179" s="508" t="str">
        <x:v>Sources de données (à valider)</x:v>
      </x:c>
      <x:c r="I179" s="508" t="str">
        <x:v>Sources de données (à valider)</x:v>
      </x:c>
      <x:c r="J179" s="508" t="str">
        <x:v>Sources de données (à valider)</x:v>
      </x:c>
      <x:c r="K179" s="508" t="str">
        <x:v>Sources de données (à valider)</x:v>
      </x:c>
      <x:c r="L179" s="508" t="str">
        <x:v>Sources de données (à valider)</x:v>
      </x:c>
      <x:c r="M179" s="508" t="str">
        <x:v>Sources de données (à valider)</x:v>
      </x:c>
    </x:row>
    <x:row r="180" ht="41.599998474121094" customHeight="1">
      <x:c r="A180" s="498"/>
      <x:c r="B180" s="508" t="str">
        <x:v>Tableau 4 de Martin 1998 — Un modèle de population de l’acarien ectoparasite Varroa jacobsoni dans les colonies d’abeilles (Apis mellifera).</x:v>
      </x:c>
      <x:c r="C180" s="508" t="str">
        <x:v>Tableau 4 de Martin 1998 — Un modèle de population de l’acarien ectoparasite Varroa jacobsoni dans les colonies d’abeilles (Apis mellifera).</x:v>
      </x:c>
      <x:c r="D180" s="508" t="str">
        <x:v>Tableau 4 de Martin 1998 — Un modèle de population de l’acarien ectoparasite Varroa jacobsoni dans les colonies d’abeilles (Apis mellifera).</x:v>
      </x:c>
      <x:c r="E180" s="508" t="str">
        <x:v>Tableau 4 de Martin 1998 — Un modèle de population de l’acarien ectoparasite Varroa jacobsoni dans les colonies d’abeilles (Apis mellifera).</x:v>
      </x:c>
      <x:c r="F180" s="508" t="str">
        <x:v>Tableau 4 de Martin 1998 — Un modèle de population de l’acarien ectoparasite Varroa jacobsoni dans les colonies d’abeilles (Apis mellifera).</x:v>
      </x:c>
      <x:c r="G180" s="508" t="str">
        <x:v>Tableau 4 de Martin 1998 — Un modèle de population de l’acarien ectoparasite Varroa jacobsoni dans les colonies d’abeilles (Apis mellifera).</x:v>
      </x:c>
      <x:c r="H180" s="508" t="str">
        <x:v>Tableau 4 de Martin 1998 — Un modèle de population de l’acarien ectoparasite Varroa jacobsoni dans les colonies d’abeilles (Apis mellifera).</x:v>
      </x:c>
      <x:c r="I180" s="508" t="str">
        <x:v>Tableau 4 de Martin 1998 — Un modèle de population de l’acarien ectoparasite Varroa jacobsoni dans les colonies d’abeilles (Apis mellifera).</x:v>
      </x:c>
      <x:c r="J180" s="508" t="str">
        <x:v>Tableau 4 de Martin 1998 — Un modèle de population de l’acarien ectoparasite Varroa jacobsoni dans les colonies d’abeilles (Apis mellifera).</x:v>
      </x:c>
      <x:c r="K180" s="508" t="str">
        <x:v>Tableau 4 de Martin 1998 — Un modèle de population de l’acarien ectoparasite Varroa jacobsoni dans les colonies d’abeilles (Apis mellifera).</x:v>
      </x:c>
      <x:c r="L180" s="508" t="str">
        <x:v>Tableau 4 de Martin 1998 — Un modèle de population de l’acarien ectoparasite Varroa jacobsoni dans les colonies d’abeilles (Apis mellifera).</x:v>
      </x:c>
      <x:c r="M180" s="508" t="str">
        <x:v>Tableau 4 de Martin 1998 — Un modèle de population de l’acarien ectoparasite Varroa jacobsoni dans les colonies d’abeilles (Apis mellifera).</x:v>
      </x:c>
    </x:row>
    <x:row r="181" ht="41.599998474121094" customHeight="1">
      <x:c r="A181" s="498"/>
      <x:c r="B181" s="508" t="str">
        <x:v>Donze 1996 — Effet de la fréquence d’accouplement et du taux d’infestation des cellules de couvain sur le succès reproductif du parasite de l’abeille Varroa jacobsoni.</x:v>
      </x:c>
      <x:c r="C181" s="508" t="str">
        <x:v>Donze 1996 — Effet de la fréquence d’accouplement et du taux d’infestation des cellules de couvain sur le succès reproductif du parasite de l’abeille Varroa jacobsoni.</x:v>
      </x:c>
      <x:c r="D181" s="508" t="str">
        <x:v>Donze 1996 — Effet de la fréquence d’accouplement et du taux d’infestation des cellules de couvain sur le succès reproductif du parasite de l’abeille Varroa jacobsoni.</x:v>
      </x:c>
      <x:c r="E181" s="508" t="str">
        <x:v>Donze 1996 — Effet de la fréquence d’accouplement et du taux d’infestation des cellules de couvain sur le succès reproductif du parasite de l’abeille Varroa jacobsoni.</x:v>
      </x:c>
      <x:c r="F181" s="508" t="str">
        <x:v>Donze 1996 — Effet de la fréquence d’accouplement et du taux d’infestation des cellules de couvain sur le succès reproductif du parasite de l’abeille Varroa jacobsoni.</x:v>
      </x:c>
      <x:c r="G181" s="508" t="str">
        <x:v>Donze 1996 — Effet de la fréquence d’accouplement et du taux d’infestation des cellules de couvain sur le succès reproductif du parasite de l’abeille Varroa jacobsoni.</x:v>
      </x:c>
      <x:c r="H181" s="508" t="str">
        <x:v>Donze 1996 — Effet de la fréquence d’accouplement et du taux d’infestation des cellules de couvain sur le succès reproductif du parasite de l’abeille Varroa jacobsoni.</x:v>
      </x:c>
      <x:c r="I181" s="508" t="str">
        <x:v>Donze 1996 — Effet de la fréquence d’accouplement et du taux d’infestation des cellules de couvain sur le succès reproductif du parasite de l’abeille Varroa jacobsoni.</x:v>
      </x:c>
      <x:c r="J181" s="508" t="str">
        <x:v>Donze 1996 — Effet de la fréquence d’accouplement et du taux d’infestation des cellules de couvain sur le succès reproductif du parasite de l’abeille Varroa jacobsoni.</x:v>
      </x:c>
      <x:c r="K181" s="508" t="str">
        <x:v>Donze 1996 — Effet de la fréquence d’accouplement et du taux d’infestation des cellules de couvain sur le succès reproductif du parasite de l’abeille Varroa jacobsoni.</x:v>
      </x:c>
      <x:c r="L181" s="508" t="str">
        <x:v>Donze 1996 — Effet de la fréquence d’accouplement et du taux d’infestation des cellules de couvain sur le succès reproductif du parasite de l’abeille Varroa jacobsoni.</x:v>
      </x:c>
      <x:c r="M181" s="508" t="str">
        <x:v>Donze 1996 — Effet de la fréquence d’accouplement et du taux d’infestation des cellules de couvain sur le succès reproductif du parasite de l’abeille Varroa jacobsoni.</x:v>
      </x:c>
    </x:row>
    <x:row r="182" ht="41.599998474121094" customHeight="1">
      <x:c r="A182" s="498"/>
      <x:c r="B182" s="508" t="str">
        <x:v>Vandame 2003 — Degrés de compatibilité dans une nouvelle association hôte–parasite : Apis mellifera/Varroa jacobsoni.</x:v>
      </x:c>
      <x:c r="C182" s="508" t="str">
        <x:v>Vandame 2003 — Degrés de compatibilité dans une nouvelle association hôte–parasite : Apis mellifera/Varroa jacobsoni.</x:v>
      </x:c>
      <x:c r="D182" s="508" t="str">
        <x:v>Vandame 2003 — Degrés de compatibilité dans une nouvelle association hôte–parasite : Apis mellifera/Varroa jacobsoni.</x:v>
      </x:c>
      <x:c r="E182" s="508" t="str">
        <x:v>Vandame 2003 — Degrés de compatibilité dans une nouvelle association hôte–parasite : Apis mellifera/Varroa jacobsoni.</x:v>
      </x:c>
      <x:c r="F182" s="508" t="str">
        <x:v>Vandame 2003 — Degrés de compatibilité dans une nouvelle association hôte–parasite : Apis mellifera/Varroa jacobsoni.</x:v>
      </x:c>
      <x:c r="G182" s="508" t="str">
        <x:v>Vandame 2003 — Degrés de compatibilité dans une nouvelle association hôte–parasite : Apis mellifera/Varroa jacobsoni.</x:v>
      </x:c>
      <x:c r="H182" s="508" t="str">
        <x:v>Vandame 2003 — Degrés de compatibilité dans une nouvelle association hôte–parasite : Apis mellifera/Varroa jacobsoni.</x:v>
      </x:c>
      <x:c r="I182" s="508" t="str">
        <x:v>Vandame 2003 — Degrés de compatibilité dans une nouvelle association hôte–parasite : Apis mellifera/Varroa jacobsoni.</x:v>
      </x:c>
      <x:c r="J182" s="508" t="str">
        <x:v>Vandame 2003 — Degrés de compatibilité dans une nouvelle association hôte–parasite : Apis mellifera/Varroa jacobsoni.</x:v>
      </x:c>
      <x:c r="K182" s="508" t="str">
        <x:v>Vandame 2003 — Degrés de compatibilité dans une nouvelle association hôte–parasite : Apis mellifera/Varroa jacobsoni.</x:v>
      </x:c>
      <x:c r="L182" s="508" t="str">
        <x:v>Vandame 2003 — Degrés de compatibilité dans une nouvelle association hôte–parasite : Apis mellifera/Varroa jacobsoni.</x:v>
      </x:c>
      <x:c r="M182" s="508" t="str">
        <x:v>Vandame 2003 — Degrés de compatibilité dans une nouvelle association hôte–parasite : Apis mellifera/Varroa jacobsoni.</x:v>
      </x:c>
    </x:row>
    <x:row r="183" ht="41.599998474121094" customHeight="1">
      <x:c r="A183" s="498"/>
      <x:c r="B183" s="508" t="str">
        <x:v>DeGuzman 2007 — Croissance des populations de Varroa destructor (Acari: Varroidae) dans des colonies d’abeilles russes (Hymenoptera: Apidae).</x:v>
      </x:c>
      <x:c r="C183" s="508" t="str">
        <x:v>DeGuzman 2007 — Croissance des populations de Varroa destructor (Acari: Varroidae) dans des colonies d’abeilles russes (Hymenoptera: Apidae).</x:v>
      </x:c>
      <x:c r="D183" s="508" t="str">
        <x:v>DeGuzman 2007 — Croissance des populations de Varroa destructor (Acari: Varroidae) dans des colonies d’abeilles russes (Hymenoptera: Apidae).</x:v>
      </x:c>
      <x:c r="E183" s="508" t="str">
        <x:v>DeGuzman 2007 — Croissance des populations de Varroa destructor (Acari: Varroidae) dans des colonies d’abeilles russes (Hymenoptera: Apidae).</x:v>
      </x:c>
      <x:c r="F183" s="508" t="str">
        <x:v>DeGuzman 2007 — Croissance des populations de Varroa destructor (Acari: Varroidae) dans des colonies d’abeilles russes (Hymenoptera: Apidae).</x:v>
      </x:c>
      <x:c r="G183" s="508" t="str">
        <x:v>DeGuzman 2007 — Croissance des populations de Varroa destructor (Acari: Varroidae) dans des colonies d’abeilles russes (Hymenoptera: Apidae).</x:v>
      </x:c>
      <x:c r="H183" s="508" t="str">
        <x:v>DeGuzman 2007 — Croissance des populations de Varroa destructor (Acari: Varroidae) dans des colonies d’abeilles russes (Hymenoptera: Apidae).</x:v>
      </x:c>
      <x:c r="I183" s="508" t="str">
        <x:v>DeGuzman 2007 — Croissance des populations de Varroa destructor (Acari: Varroidae) dans des colonies d’abeilles russes (Hymenoptera: Apidae).</x:v>
      </x:c>
      <x:c r="J183" s="508" t="str">
        <x:v>DeGuzman 2007 — Croissance des populations de Varroa destructor (Acari: Varroidae) dans des colonies d’abeilles russes (Hymenoptera: Apidae).</x:v>
      </x:c>
      <x:c r="K183" s="508" t="str">
        <x:v>DeGuzman 2007 — Croissance des populations de Varroa destructor (Acari: Varroidae) dans des colonies d’abeilles russes (Hymenoptera: Apidae).</x:v>
      </x:c>
      <x:c r="L183" s="508" t="str">
        <x:v>DeGuzman 2007 — Croissance des populations de Varroa destructor (Acari: Varroidae) dans des colonies d’abeilles russes (Hymenoptera: Apidae).</x:v>
      </x:c>
      <x:c r="M183" s="508" t="str">
        <x:v>DeGuzman 2007 — Croissance des populations de Varroa destructor (Acari: Varroidae) dans des colonies d’abeilles russes (Hymenoptera: Apidae).</x:v>
      </x:c>
    </x:row>
    <x:row r="184" ht="18" customHeight="1">
      <x:c r="A184" s="498"/>
      <x:c r="B184" s="498"/>
      <x:c r="C184" s="498"/>
      <x:c r="D184" s="498"/>
      <x:c r="E184" s="498"/>
      <x:c r="F184" s="498"/>
      <x:c r="G184" s="498"/>
      <x:c r="H184" s="498"/>
      <x:c r="I184" s="498"/>
      <x:c r="J184" s="498"/>
      <x:c r="K184" s="498"/>
      <x:c r="L184" s="498"/>
      <x:c r="M184" s="498"/>
    </x:row>
    <x:row r="185" ht="18" customHeight="1">
      <x:c r="A185" s="498"/>
      <x:c r="B185" s="529" t="str">
        <x:v>Note de calcul — Randy Oliver · DB3</x:v>
      </x:c>
      <x:c r="C185" s="529" t="str">
        <x:v>Note de calcul — Randy Oliver · DB3</x:v>
      </x:c>
      <x:c r="D185" s="529" t="str">
        <x:v>Note de calcul — Randy Oliver · DB3</x:v>
      </x:c>
      <x:c r="E185" s="529" t="str">
        <x:v>Note de calcul — Randy Oliver · DB3</x:v>
      </x:c>
      <x:c r="F185" s="529" t="str">
        <x:v>Note de calcul — Randy Oliver · DB3</x:v>
      </x:c>
      <x:c r="G185" s="529" t="str">
        <x:v>Note de calcul — Randy Oliver · DB3</x:v>
      </x:c>
      <x:c r="H185" s="529" t="str">
        <x:v>Note de calcul — Randy Oliver · DB3</x:v>
      </x:c>
      <x:c r="I185" s="529" t="str">
        <x:v>Note de calcul — Randy Oliver · DB3</x:v>
      </x:c>
      <x:c r="J185" s="529" t="str">
        <x:v>Note de calcul — Randy Oliver · DB3</x:v>
      </x:c>
      <x:c r="K185" s="529" t="str">
        <x:v>Note de calcul — Randy Oliver · DB3</x:v>
      </x:c>
      <x:c r="L185" s="529" t="str">
        <x:v>Note de calcul — Randy Oliver · DB3</x:v>
      </x:c>
      <x:c r="M185" s="529" t="str">
        <x:v>Note de calcul — Randy Oliver · DB3</x:v>
      </x:c>
    </x:row>
    <x:row r="186" ht="31" customHeight="1">
      <x:c r="A186" s="498"/>
      <x:c r="B186" s="508" t="str">
        <x:v>Randy Oliver :</x:v>
      </x:c>
      <x:c r="C186" s="508" t="str">
        <x:v>Randy Oliver :</x:v>
      </x:c>
      <x:c r="D186" s="508" t="str">
        <x:v>Randy Oliver :</x:v>
      </x:c>
      <x:c r="E186" s="508" t="str">
        <x:v>Randy Oliver :</x:v>
      </x:c>
      <x:c r="F186" s="508" t="str">
        <x:v>Randy Oliver :</x:v>
      </x:c>
      <x:c r="G186" s="508" t="str">
        <x:v>Randy Oliver :</x:v>
      </x:c>
      <x:c r="H186" s="508" t="str">
        <x:v>Randy Oliver :</x:v>
      </x:c>
      <x:c r="I186" s="508" t="str">
        <x:v>Randy Oliver :</x:v>
      </x:c>
      <x:c r="J186" s="508" t="str">
        <x:v>Randy Oliver :</x:v>
      </x:c>
      <x:c r="K186" s="508" t="str">
        <x:v>Randy Oliver :</x:v>
      </x:c>
      <x:c r="L186" s="508" t="str">
        <x:v>Randy Oliver :</x:v>
      </x:c>
      <x:c r="M186" s="508" t="str">
        <x:v>Randy Oliver :</x:v>
      </x:c>
    </x:row>
    <x:row r="187" ht="56.400001525878906" customHeight="1">
      <x:c r="A187" s="498"/>
      <x:c r="B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C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D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E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F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G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H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I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J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K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L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c r="M187" s="508" t="str">
        <x:v>Taux reproductif potentiel théorique, fondé sur le pourcentage de varroas dans le couvain de mâles × la reproduction dans ce couvain, plus le même calcul pour le couvain d’ouvrières. Le pourcentage de femelles fécondées et la mortalité des fondatrices sont calculés ailleurs.</x:v>
      </x:c>
    </x:row>
    <x:row r="188" ht="18" customHeight="1">
      <x:c r="A188" s="498"/>
      <x:c r="B188" s="498"/>
      <x:c r="C188" s="498"/>
      <x:c r="D188" s="498"/>
      <x:c r="E188" s="498"/>
      <x:c r="F188" s="498"/>
      <x:c r="G188" s="498"/>
      <x:c r="H188" s="498"/>
      <x:c r="I188" s="498"/>
      <x:c r="J188" s="498"/>
      <x:c r="K188" s="498"/>
      <x:c r="L188" s="498"/>
      <x:c r="M188" s="498"/>
    </x:row>
    <x:row r="189" ht="18" customHeight="1">
      <x:c r="A189" s="498"/>
      <x:c r="B189" s="529" t="str">
        <x:v>Note de calcul — Randy Oliver · DC3</x:v>
      </x:c>
      <x:c r="C189" s="529" t="str">
        <x:v>Note de calcul — Randy Oliver · DC3</x:v>
      </x:c>
      <x:c r="D189" s="529" t="str">
        <x:v>Note de calcul — Randy Oliver · DC3</x:v>
      </x:c>
      <x:c r="E189" s="529" t="str">
        <x:v>Note de calcul — Randy Oliver · DC3</x:v>
      </x:c>
      <x:c r="F189" s="529" t="str">
        <x:v>Note de calcul — Randy Oliver · DC3</x:v>
      </x:c>
      <x:c r="G189" s="529" t="str">
        <x:v>Note de calcul — Randy Oliver · DC3</x:v>
      </x:c>
      <x:c r="H189" s="529" t="str">
        <x:v>Note de calcul — Randy Oliver · DC3</x:v>
      </x:c>
      <x:c r="I189" s="529" t="str">
        <x:v>Note de calcul — Randy Oliver · DC3</x:v>
      </x:c>
      <x:c r="J189" s="529" t="str">
        <x:v>Note de calcul — Randy Oliver · DC3</x:v>
      </x:c>
      <x:c r="K189" s="529" t="str">
        <x:v>Note de calcul — Randy Oliver · DC3</x:v>
      </x:c>
      <x:c r="L189" s="529" t="str">
        <x:v>Note de calcul — Randy Oliver · DC3</x:v>
      </x:c>
      <x:c r="M189" s="529" t="str">
        <x:v>Note de calcul — Randy Oliver · DC3</x:v>
      </x:c>
    </x:row>
    <x:row r="190" ht="31" customHeight="1">
      <x:c r="A190" s="498"/>
      <x:c r="B190" s="508" t="str">
        <x:v>Randy Oliver :</x:v>
      </x:c>
      <x:c r="C190" s="508" t="str">
        <x:v>Randy Oliver :</x:v>
      </x:c>
      <x:c r="D190" s="508" t="str">
        <x:v>Randy Oliver :</x:v>
      </x:c>
      <x:c r="E190" s="508" t="str">
        <x:v>Randy Oliver :</x:v>
      </x:c>
      <x:c r="F190" s="508" t="str">
        <x:v>Randy Oliver :</x:v>
      </x:c>
      <x:c r="G190" s="508" t="str">
        <x:v>Randy Oliver :</x:v>
      </x:c>
      <x:c r="H190" s="508" t="str">
        <x:v>Randy Oliver :</x:v>
      </x:c>
      <x:c r="I190" s="508" t="str">
        <x:v>Randy Oliver :</x:v>
      </x:c>
      <x:c r="J190" s="508" t="str">
        <x:v>Randy Oliver :</x:v>
      </x:c>
      <x:c r="K190" s="508" t="str">
        <x:v>Randy Oliver :</x:v>
      </x:c>
      <x:c r="L190" s="508" t="str">
        <x:v>Randy Oliver :</x:v>
      </x:c>
      <x:c r="M190" s="508" t="str">
        <x:v>Randy Oliver :</x:v>
      </x:c>
    </x:row>
    <x:row r="191" ht="31" customHeight="1">
      <x:c r="A191" s="498"/>
      <x:c r="B191" s="508" t="str">
        <x:v>Ce calcul prend en compte la mortalité des fondatrices. Voir le calcul en AJ79</x:v>
      </x:c>
      <x:c r="C191" s="508" t="str">
        <x:v>Ce calcul prend en compte la mortalité des fondatrices. Voir le calcul en AJ79</x:v>
      </x:c>
      <x:c r="D191" s="508" t="str">
        <x:v>Ce calcul prend en compte la mortalité des fondatrices. Voir le calcul en AJ79</x:v>
      </x:c>
      <x:c r="E191" s="508" t="str">
        <x:v>Ce calcul prend en compte la mortalité des fondatrices. Voir le calcul en AJ79</x:v>
      </x:c>
      <x:c r="F191" s="508" t="str">
        <x:v>Ce calcul prend en compte la mortalité des fondatrices. Voir le calcul en AJ79</x:v>
      </x:c>
      <x:c r="G191" s="508" t="str">
        <x:v>Ce calcul prend en compte la mortalité des fondatrices. Voir le calcul en AJ79</x:v>
      </x:c>
      <x:c r="H191" s="508" t="str">
        <x:v>Ce calcul prend en compte la mortalité des fondatrices. Voir le calcul en AJ79</x:v>
      </x:c>
      <x:c r="I191" s="508" t="str">
        <x:v>Ce calcul prend en compte la mortalité des fondatrices. Voir le calcul en AJ79</x:v>
      </x:c>
      <x:c r="J191" s="508" t="str">
        <x:v>Ce calcul prend en compte la mortalité des fondatrices. Voir le calcul en AJ79</x:v>
      </x:c>
      <x:c r="K191" s="508" t="str">
        <x:v>Ce calcul prend en compte la mortalité des fondatrices. Voir le calcul en AJ79</x:v>
      </x:c>
      <x:c r="L191" s="508" t="str">
        <x:v>Ce calcul prend en compte la mortalité des fondatrices. Voir le calcul en AJ79</x:v>
      </x:c>
      <x:c r="M191" s="508" t="str">
        <x:v>Ce calcul prend en compte la mortalité des fondatrices. Voir le calcul en AJ79</x:v>
      </x:c>
    </x:row>
    <x:row r="192" ht="18" customHeight="1">
      <x:c r="A192" s="498"/>
      <x:c r="B192" s="498"/>
      <x:c r="C192" s="498"/>
      <x:c r="D192" s="498"/>
      <x:c r="E192" s="498"/>
      <x:c r="F192" s="498"/>
      <x:c r="G192" s="498"/>
      <x:c r="H192" s="498"/>
      <x:c r="I192" s="498"/>
      <x:c r="J192" s="498"/>
      <x:c r="K192" s="498"/>
      <x:c r="L192" s="498"/>
      <x:c r="M192" s="498"/>
    </x:row>
    <x:row r="193" ht="18" customHeight="1">
      <x:c r="A193" s="498"/>
      <x:c r="B193" s="529" t="str">
        <x:v>Note de calcul — Randy Oliver · DD3</x:v>
      </x:c>
      <x:c r="C193" s="529" t="str">
        <x:v>Note de calcul — Randy Oliver · DD3</x:v>
      </x:c>
      <x:c r="D193" s="529" t="str">
        <x:v>Note de calcul — Randy Oliver · DD3</x:v>
      </x:c>
      <x:c r="E193" s="529" t="str">
        <x:v>Note de calcul — Randy Oliver · DD3</x:v>
      </x:c>
      <x:c r="F193" s="529" t="str">
        <x:v>Note de calcul — Randy Oliver · DD3</x:v>
      </x:c>
      <x:c r="G193" s="529" t="str">
        <x:v>Note de calcul — Randy Oliver · DD3</x:v>
      </x:c>
      <x:c r="H193" s="529" t="str">
        <x:v>Note de calcul — Randy Oliver · DD3</x:v>
      </x:c>
      <x:c r="I193" s="529" t="str">
        <x:v>Note de calcul — Randy Oliver · DD3</x:v>
      </x:c>
      <x:c r="J193" s="529" t="str">
        <x:v>Note de calcul — Randy Oliver · DD3</x:v>
      </x:c>
      <x:c r="K193" s="529" t="str">
        <x:v>Note de calcul — Randy Oliver · DD3</x:v>
      </x:c>
      <x:c r="L193" s="529" t="str">
        <x:v>Note de calcul — Randy Oliver · DD3</x:v>
      </x:c>
      <x:c r="M193" s="529" t="str">
        <x:v>Note de calcul — Randy Oliver · DD3</x:v>
      </x:c>
    </x:row>
    <x:row r="194" ht="31" customHeight="1">
      <x:c r="A194" s="498"/>
      <x:c r="B194" s="508" t="str">
        <x:v>Randy Oliver :</x:v>
      </x:c>
      <x:c r="C194" s="508" t="str">
        <x:v>Randy Oliver :</x:v>
      </x:c>
      <x:c r="D194" s="508" t="str">
        <x:v>Randy Oliver :</x:v>
      </x:c>
      <x:c r="E194" s="508" t="str">
        <x:v>Randy Oliver :</x:v>
      </x:c>
      <x:c r="F194" s="508" t="str">
        <x:v>Randy Oliver :</x:v>
      </x:c>
      <x:c r="G194" s="508" t="str">
        <x:v>Randy Oliver :</x:v>
      </x:c>
      <x:c r="H194" s="508" t="str">
        <x:v>Randy Oliver :</x:v>
      </x:c>
      <x:c r="I194" s="508" t="str">
        <x:v>Randy Oliver :</x:v>
      </x:c>
      <x:c r="J194" s="508" t="str">
        <x:v>Randy Oliver :</x:v>
      </x:c>
      <x:c r="K194" s="508" t="str">
        <x:v>Randy Oliver :</x:v>
      </x:c>
      <x:c r="L194" s="508" t="str">
        <x:v>Randy Oliver :</x:v>
      </x:c>
      <x:c r="M194" s="508" t="str">
        <x:v>Randy Oliver :</x:v>
      </x:c>
    </x:row>
    <x:row r="195" ht="31" customHeight="1">
      <x:c r="A195" s="498"/>
      <x:c r="B195" s="508" t="str">
        <x:v>Cette figure montre les moments les plus efficaces pour réduire la reproduction des varroas.</x:v>
      </x:c>
      <x:c r="C195" s="508" t="str">
        <x:v>Cette figure montre les moments les plus efficaces pour réduire la reproduction des varroas.</x:v>
      </x:c>
      <x:c r="D195" s="508" t="str">
        <x:v>Cette figure montre les moments les plus efficaces pour réduire la reproduction des varroas.</x:v>
      </x:c>
      <x:c r="E195" s="508" t="str">
        <x:v>Cette figure montre les moments les plus efficaces pour réduire la reproduction des varroas.</x:v>
      </x:c>
      <x:c r="F195" s="508" t="str">
        <x:v>Cette figure montre les moments les plus efficaces pour réduire la reproduction des varroas.</x:v>
      </x:c>
      <x:c r="G195" s="508" t="str">
        <x:v>Cette figure montre les moments les plus efficaces pour réduire la reproduction des varroas.</x:v>
      </x:c>
      <x:c r="H195" s="508" t="str">
        <x:v>Cette figure montre les moments les plus efficaces pour réduire la reproduction des varroas.</x:v>
      </x:c>
      <x:c r="I195" s="508" t="str">
        <x:v>Cette figure montre les moments les plus efficaces pour réduire la reproduction des varroas.</x:v>
      </x:c>
      <x:c r="J195" s="508" t="str">
        <x:v>Cette figure montre les moments les plus efficaces pour réduire la reproduction des varroas.</x:v>
      </x:c>
      <x:c r="K195" s="508" t="str">
        <x:v>Cette figure montre les moments les plus efficaces pour réduire la reproduction des varroas.</x:v>
      </x:c>
      <x:c r="L195" s="508" t="str">
        <x:v>Cette figure montre les moments les plus efficaces pour réduire la reproduction des varroas.</x:v>
      </x:c>
      <x:c r="M195" s="508" t="str">
        <x:v>Cette figure montre les moments les plus efficaces pour réduire la reproduction des varroas.</x:v>
      </x:c>
    </x:row>
    <x:row r="196" ht="18" customHeight="1">
      <x:c r="A196" s="498"/>
      <x:c r="B196" s="498"/>
      <x:c r="C196" s="498"/>
      <x:c r="D196" s="498"/>
      <x:c r="E196" s="498"/>
      <x:c r="F196" s="498"/>
      <x:c r="G196" s="498"/>
      <x:c r="H196" s="498"/>
      <x:c r="I196" s="498"/>
      <x:c r="J196" s="498"/>
      <x:c r="K196" s="498"/>
      <x:c r="L196" s="498"/>
      <x:c r="M196" s="498"/>
    </x:row>
    <x:row r="197" ht="18" customHeight="1">
      <x:c r="A197" s="498"/>
      <x:c r="B197" s="529" t="str">
        <x:v>Note de calcul — Randy Oliver · DG3</x:v>
      </x:c>
      <x:c r="C197" s="529" t="str">
        <x:v>Note de calcul — Randy Oliver · DG3</x:v>
      </x:c>
      <x:c r="D197" s="529" t="str">
        <x:v>Note de calcul — Randy Oliver · DG3</x:v>
      </x:c>
      <x:c r="E197" s="529" t="str">
        <x:v>Note de calcul — Randy Oliver · DG3</x:v>
      </x:c>
      <x:c r="F197" s="529" t="str">
        <x:v>Note de calcul — Randy Oliver · DG3</x:v>
      </x:c>
      <x:c r="G197" s="529" t="str">
        <x:v>Note de calcul — Randy Oliver · DG3</x:v>
      </x:c>
      <x:c r="H197" s="529" t="str">
        <x:v>Note de calcul — Randy Oliver · DG3</x:v>
      </x:c>
      <x:c r="I197" s="529" t="str">
        <x:v>Note de calcul — Randy Oliver · DG3</x:v>
      </x:c>
      <x:c r="J197" s="529" t="str">
        <x:v>Note de calcul — Randy Oliver · DG3</x:v>
      </x:c>
      <x:c r="K197" s="529" t="str">
        <x:v>Note de calcul — Randy Oliver · DG3</x:v>
      </x:c>
      <x:c r="L197" s="529" t="str">
        <x:v>Note de calcul — Randy Oliver · DG3</x:v>
      </x:c>
      <x:c r="M197" s="529" t="str">
        <x:v>Note de calcul — Randy Oliver · DG3</x:v>
      </x:c>
    </x:row>
    <x:row r="198" ht="31" customHeight="1">
      <x:c r="A198" s="498"/>
      <x:c r="B198" s="508" t="str">
        <x:v>Randy Oliver :</x:v>
      </x:c>
      <x:c r="C198" s="508" t="str">
        <x:v>Randy Oliver :</x:v>
      </x:c>
      <x:c r="D198" s="508" t="str">
        <x:v>Randy Oliver :</x:v>
      </x:c>
      <x:c r="E198" s="508" t="str">
        <x:v>Randy Oliver :</x:v>
      </x:c>
      <x:c r="F198" s="508" t="str">
        <x:v>Randy Oliver :</x:v>
      </x:c>
      <x:c r="G198" s="508" t="str">
        <x:v>Randy Oliver :</x:v>
      </x:c>
      <x:c r="H198" s="508" t="str">
        <x:v>Randy Oliver :</x:v>
      </x:c>
      <x:c r="I198" s="508" t="str">
        <x:v>Randy Oliver :</x:v>
      </x:c>
      <x:c r="J198" s="508" t="str">
        <x:v>Randy Oliver :</x:v>
      </x:c>
      <x:c r="K198" s="508" t="str">
        <x:v>Randy Oliver :</x:v>
      </x:c>
      <x:c r="L198" s="508" t="str">
        <x:v>Randy Oliver :</x:v>
      </x:c>
      <x:c r="M198" s="508" t="str">
        <x:v>Randy Oliver :</x:v>
      </x:c>
    </x:row>
    <x:row r="199" ht="86" customHeight="1">
      <x:c r="A199" s="498"/>
      <x:c r="B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C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D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E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F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G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H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I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J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K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L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c r="M199" s="508" t="str">
        <x:v>Les varroas non fécondés restent inclus dans la population totale de varroas et peuvent envahir des cellules, ainsi que contribuer à la transmission de virus, mais ils seraient incapables de se reproduire. Ce facteur se révèle avoir un effet considérable. La question est donc : quelle proportion de la population de varroas est réellement capable de se reproduire ? Même un faible ajustement a un effet énorme sur le taux d’accroissement des varroas au cours d’une saison.</x:v>
      </x:c>
    </x:row>
    <x:row r="200" ht="18" customHeight="1">
      <x:c r="A200" s="498"/>
      <x:c r="B200" s="498"/>
      <x:c r="C200" s="498"/>
      <x:c r="D200" s="498"/>
      <x:c r="E200" s="498"/>
      <x:c r="F200" s="498"/>
      <x:c r="G200" s="498"/>
      <x:c r="H200" s="498"/>
      <x:c r="I200" s="498"/>
      <x:c r="J200" s="498"/>
      <x:c r="K200" s="498"/>
      <x:c r="L200" s="498"/>
      <x:c r="M200" s="498"/>
    </x:row>
    <x:row r="201" ht="18" customHeight="1">
      <x:c r="A201" s="498"/>
      <x:c r="B201" s="529" t="str">
        <x:v>Note de calcul — Randy Oliver · DH3</x:v>
      </x:c>
      <x:c r="C201" s="529" t="str">
        <x:v>Note de calcul — Randy Oliver · DH3</x:v>
      </x:c>
      <x:c r="D201" s="529" t="str">
        <x:v>Note de calcul — Randy Oliver · DH3</x:v>
      </x:c>
      <x:c r="E201" s="529" t="str">
        <x:v>Note de calcul — Randy Oliver · DH3</x:v>
      </x:c>
      <x:c r="F201" s="529" t="str">
        <x:v>Note de calcul — Randy Oliver · DH3</x:v>
      </x:c>
      <x:c r="G201" s="529" t="str">
        <x:v>Note de calcul — Randy Oliver · DH3</x:v>
      </x:c>
      <x:c r="H201" s="529" t="str">
        <x:v>Note de calcul — Randy Oliver · DH3</x:v>
      </x:c>
      <x:c r="I201" s="529" t="str">
        <x:v>Note de calcul — Randy Oliver · DH3</x:v>
      </x:c>
      <x:c r="J201" s="529" t="str">
        <x:v>Note de calcul — Randy Oliver · DH3</x:v>
      </x:c>
      <x:c r="K201" s="529" t="str">
        <x:v>Note de calcul — Randy Oliver · DH3</x:v>
      </x:c>
      <x:c r="L201" s="529" t="str">
        <x:v>Note de calcul — Randy Oliver · DH3</x:v>
      </x:c>
      <x:c r="M201" s="529" t="str">
        <x:v>Note de calcul — Randy Oliver · DH3</x:v>
      </x:c>
    </x:row>
    <x:row r="202" ht="31" customHeight="1">
      <x:c r="A202" s="498"/>
      <x:c r="B202" s="508" t="str">
        <x:v>Randy Oliver :</x:v>
      </x:c>
      <x:c r="C202" s="508" t="str">
        <x:v>Randy Oliver :</x:v>
      </x:c>
      <x:c r="D202" s="508" t="str">
        <x:v>Randy Oliver :</x:v>
      </x:c>
      <x:c r="E202" s="508" t="str">
        <x:v>Randy Oliver :</x:v>
      </x:c>
      <x:c r="F202" s="508" t="str">
        <x:v>Randy Oliver :</x:v>
      </x:c>
      <x:c r="G202" s="508" t="str">
        <x:v>Randy Oliver :</x:v>
      </x:c>
      <x:c r="H202" s="508" t="str">
        <x:v>Randy Oliver :</x:v>
      </x:c>
      <x:c r="I202" s="508" t="str">
        <x:v>Randy Oliver :</x:v>
      </x:c>
      <x:c r="J202" s="508" t="str">
        <x:v>Randy Oliver :</x:v>
      </x:c>
      <x:c r="K202" s="508" t="str">
        <x:v>Randy Oliver :</x:v>
      </x:c>
      <x:c r="L202" s="508" t="str">
        <x:v>Randy Oliver :</x:v>
      </x:c>
      <x:c r="M202" s="508" t="str">
        <x:v>Randy Oliver :</x:v>
      </x:c>
    </x:row>
    <x:row r="203" ht="31" customHeight="1">
      <x:c r="A203" s="498"/>
      <x:c r="B203" s="508" t="str">
        <x:v>Voir le commentaire associé au calcul à droite</x:v>
      </x:c>
      <x:c r="C203" s="508" t="str">
        <x:v>Voir le commentaire associé au calcul à droite</x:v>
      </x:c>
      <x:c r="D203" s="508" t="str">
        <x:v>Voir le commentaire associé au calcul à droite</x:v>
      </x:c>
      <x:c r="E203" s="508" t="str">
        <x:v>Voir le commentaire associé au calcul à droite</x:v>
      </x:c>
      <x:c r="F203" s="508" t="str">
        <x:v>Voir le commentaire associé au calcul à droite</x:v>
      </x:c>
      <x:c r="G203" s="508" t="str">
        <x:v>Voir le commentaire associé au calcul à droite</x:v>
      </x:c>
      <x:c r="H203" s="508" t="str">
        <x:v>Voir le commentaire associé au calcul à droite</x:v>
      </x:c>
      <x:c r="I203" s="508" t="str">
        <x:v>Voir le commentaire associé au calcul à droite</x:v>
      </x:c>
      <x:c r="J203" s="508" t="str">
        <x:v>Voir le commentaire associé au calcul à droite</x:v>
      </x:c>
      <x:c r="K203" s="508" t="str">
        <x:v>Voir le commentaire associé au calcul à droite</x:v>
      </x:c>
      <x:c r="L203" s="508" t="str">
        <x:v>Voir le commentaire associé au calcul à droite</x:v>
      </x:c>
      <x:c r="M203" s="508" t="str">
        <x:v>Voir le commentaire associé au calcul à droite</x:v>
      </x:c>
    </x:row>
    <x:row r="204" ht="18" customHeight="1">
      <x:c r="A204" s="498"/>
      <x:c r="B204" s="498"/>
      <x:c r="C204" s="498"/>
      <x:c r="D204" s="498"/>
      <x:c r="E204" s="498"/>
      <x:c r="F204" s="498"/>
      <x:c r="G204" s="498"/>
      <x:c r="H204" s="498"/>
      <x:c r="I204" s="498"/>
      <x:c r="J204" s="498"/>
      <x:c r="K204" s="498"/>
      <x:c r="L204" s="498"/>
      <x:c r="M204" s="498"/>
    </x:row>
    <x:row r="205" ht="18" customHeight="1">
      <x:c r="A205" s="498"/>
      <x:c r="B205" s="529" t="str">
        <x:v>Note de calcul — Randy Oliver · DI3</x:v>
      </x:c>
      <x:c r="C205" s="529" t="str">
        <x:v>Note de calcul — Randy Oliver · DI3</x:v>
      </x:c>
      <x:c r="D205" s="529" t="str">
        <x:v>Note de calcul — Randy Oliver · DI3</x:v>
      </x:c>
      <x:c r="E205" s="529" t="str">
        <x:v>Note de calcul — Randy Oliver · DI3</x:v>
      </x:c>
      <x:c r="F205" s="529" t="str">
        <x:v>Note de calcul — Randy Oliver · DI3</x:v>
      </x:c>
      <x:c r="G205" s="529" t="str">
        <x:v>Note de calcul — Randy Oliver · DI3</x:v>
      </x:c>
      <x:c r="H205" s="529" t="str">
        <x:v>Note de calcul — Randy Oliver · DI3</x:v>
      </x:c>
      <x:c r="I205" s="529" t="str">
        <x:v>Note de calcul — Randy Oliver · DI3</x:v>
      </x:c>
      <x:c r="J205" s="529" t="str">
        <x:v>Note de calcul — Randy Oliver · DI3</x:v>
      </x:c>
      <x:c r="K205" s="529" t="str">
        <x:v>Note de calcul — Randy Oliver · DI3</x:v>
      </x:c>
      <x:c r="L205" s="529" t="str">
        <x:v>Note de calcul — Randy Oliver · DI3</x:v>
      </x:c>
      <x:c r="M205" s="529" t="str">
        <x:v>Note de calcul — Randy Oliver · DI3</x:v>
      </x:c>
    </x:row>
    <x:row r="206" ht="31" customHeight="1">
      <x:c r="A206" s="498"/>
      <x:c r="B206" s="508" t="str">
        <x:v>Randy Oliver :</x:v>
      </x:c>
      <x:c r="C206" s="508" t="str">
        <x:v>Randy Oliver :</x:v>
      </x:c>
      <x:c r="D206" s="508" t="str">
        <x:v>Randy Oliver :</x:v>
      </x:c>
      <x:c r="E206" s="508" t="str">
        <x:v>Randy Oliver :</x:v>
      </x:c>
      <x:c r="F206" s="508" t="str">
        <x:v>Randy Oliver :</x:v>
      </x:c>
      <x:c r="G206" s="508" t="str">
        <x:v>Randy Oliver :</x:v>
      </x:c>
      <x:c r="H206" s="508" t="str">
        <x:v>Randy Oliver :</x:v>
      </x:c>
      <x:c r="I206" s="508" t="str">
        <x:v>Randy Oliver :</x:v>
      </x:c>
      <x:c r="J206" s="508" t="str">
        <x:v>Randy Oliver :</x:v>
      </x:c>
      <x:c r="K206" s="508" t="str">
        <x:v>Randy Oliver :</x:v>
      </x:c>
      <x:c r="L206" s="508" t="str">
        <x:v>Randy Oliver :</x:v>
      </x:c>
      <x:c r="M206" s="508" t="str">
        <x:v>Randy Oliver :</x:v>
      </x:c>
    </x:row>
    <x:row r="207" ht="31" customHeight="1">
      <x:c r="A207" s="498"/>
      <x:c r="B207" s="508" t="str">
        <x:v>Fondé sur le nombre de varroas potentiellement féconds × le taux logarithmique quotidien potentiel r</x:v>
      </x:c>
      <x:c r="C207" s="508" t="str">
        <x:v>Fondé sur le nombre de varroas potentiellement féconds × le taux logarithmique quotidien potentiel r</x:v>
      </x:c>
      <x:c r="D207" s="508" t="str">
        <x:v>Fondé sur le nombre de varroas potentiellement féconds × le taux logarithmique quotidien potentiel r</x:v>
      </x:c>
      <x:c r="E207" s="508" t="str">
        <x:v>Fondé sur le nombre de varroas potentiellement féconds × le taux logarithmique quotidien potentiel r</x:v>
      </x:c>
      <x:c r="F207" s="508" t="str">
        <x:v>Fondé sur le nombre de varroas potentiellement féconds × le taux logarithmique quotidien potentiel r</x:v>
      </x:c>
      <x:c r="G207" s="508" t="str">
        <x:v>Fondé sur le nombre de varroas potentiellement féconds × le taux logarithmique quotidien potentiel r</x:v>
      </x:c>
      <x:c r="H207" s="508" t="str">
        <x:v>Fondé sur le nombre de varroas potentiellement féconds × le taux logarithmique quotidien potentiel r</x:v>
      </x:c>
      <x:c r="I207" s="508" t="str">
        <x:v>Fondé sur le nombre de varroas potentiellement féconds × le taux logarithmique quotidien potentiel r</x:v>
      </x:c>
      <x:c r="J207" s="508" t="str">
        <x:v>Fondé sur le nombre de varroas potentiellement féconds × le taux logarithmique quotidien potentiel r</x:v>
      </x:c>
      <x:c r="K207" s="508" t="str">
        <x:v>Fondé sur le nombre de varroas potentiellement féconds × le taux logarithmique quotidien potentiel r</x:v>
      </x:c>
      <x:c r="L207" s="508" t="str">
        <x:v>Fondé sur le nombre de varroas potentiellement féconds × le taux logarithmique quotidien potentiel r</x:v>
      </x:c>
      <x:c r="M207" s="508" t="str">
        <x:v>Fondé sur le nombre de varroas potentiellement féconds × le taux logarithmique quotidien potentiel r</x:v>
      </x:c>
    </x:row>
    <x:row r="208" ht="18" customHeight="1">
      <x:c r="A208" s="498"/>
      <x:c r="B208" s="498"/>
      <x:c r="C208" s="498"/>
      <x:c r="D208" s="498"/>
      <x:c r="E208" s="498"/>
      <x:c r="F208" s="498"/>
      <x:c r="G208" s="498"/>
      <x:c r="H208" s="498"/>
      <x:c r="I208" s="498"/>
      <x:c r="J208" s="498"/>
      <x:c r="K208" s="498"/>
      <x:c r="L208" s="498"/>
      <x:c r="M208" s="498"/>
    </x:row>
    <x:row r="209" ht="18" customHeight="1">
      <x:c r="A209" s="498"/>
      <x:c r="B209" s="529" t="str">
        <x:v>Note de calcul — Randy Oliver · DL3</x:v>
      </x:c>
      <x:c r="C209" s="529" t="str">
        <x:v>Note de calcul — Randy Oliver · DL3</x:v>
      </x:c>
      <x:c r="D209" s="529" t="str">
        <x:v>Note de calcul — Randy Oliver · DL3</x:v>
      </x:c>
      <x:c r="E209" s="529" t="str">
        <x:v>Note de calcul — Randy Oliver · DL3</x:v>
      </x:c>
      <x:c r="F209" s="529" t="str">
        <x:v>Note de calcul — Randy Oliver · DL3</x:v>
      </x:c>
      <x:c r="G209" s="529" t="str">
        <x:v>Note de calcul — Randy Oliver · DL3</x:v>
      </x:c>
      <x:c r="H209" s="529" t="str">
        <x:v>Note de calcul — Randy Oliver · DL3</x:v>
      </x:c>
      <x:c r="I209" s="529" t="str">
        <x:v>Note de calcul — Randy Oliver · DL3</x:v>
      </x:c>
      <x:c r="J209" s="529" t="str">
        <x:v>Note de calcul — Randy Oliver · DL3</x:v>
      </x:c>
      <x:c r="K209" s="529" t="str">
        <x:v>Note de calcul — Randy Oliver · DL3</x:v>
      </x:c>
      <x:c r="L209" s="529" t="str">
        <x:v>Note de calcul — Randy Oliver · DL3</x:v>
      </x:c>
      <x:c r="M209" s="529" t="str">
        <x:v>Note de calcul — Randy Oliver · DL3</x:v>
      </x:c>
    </x:row>
    <x:row r="210" ht="31" customHeight="1">
      <x:c r="A210" s="498"/>
      <x:c r="B210" s="508" t="str">
        <x:v>Randy Oliver :</x:v>
      </x:c>
      <x:c r="C210" s="508" t="str">
        <x:v>Randy Oliver :</x:v>
      </x:c>
      <x:c r="D210" s="508" t="str">
        <x:v>Randy Oliver :</x:v>
      </x:c>
      <x:c r="E210" s="508" t="str">
        <x:v>Randy Oliver :</x:v>
      </x:c>
      <x:c r="F210" s="508" t="str">
        <x:v>Randy Oliver :</x:v>
      </x:c>
      <x:c r="G210" s="508" t="str">
        <x:v>Randy Oliver :</x:v>
      </x:c>
      <x:c r="H210" s="508" t="str">
        <x:v>Randy Oliver :</x:v>
      </x:c>
      <x:c r="I210" s="508" t="str">
        <x:v>Randy Oliver :</x:v>
      </x:c>
      <x:c r="J210" s="508" t="str">
        <x:v>Randy Oliver :</x:v>
      </x:c>
      <x:c r="K210" s="508" t="str">
        <x:v>Randy Oliver :</x:v>
      </x:c>
      <x:c r="L210" s="508" t="str">
        <x:v>Randy Oliver :</x:v>
      </x:c>
      <x:c r="M210" s="508" t="str">
        <x:v>Randy Oliver :</x:v>
      </x:c>
    </x:row>
    <x:row r="211" ht="100.80000305175781" customHeight="1">
      <x:c r="A211" s="498"/>
      <x:c r="B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C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D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E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F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G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H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I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J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K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L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c r="M211" s="508" t="str">
        <x:v>Nous devons tenir compte à la fois de l’augmentation de la mortalité par toilettage lorsque les varroas entrent dans le couvain et en sortent, et de la nécessité pour eux de passer régulièrement sur des abeilles plus jeunes. La valeur de 1 % de mortalité quotidienne conduit également à un nombre de cycles reproductifs par femelle conforme à celui trouvé par Martin &amp; Kemp (1997). Nombre moyen de cycles reproductifs accomplis par Varroa jacobsoni dans les colonies d’abeilles mellifères (Apis mellifera). Journal of Apicultural Research 36(3/4): 113–123.</x:v>
      </x:c>
    </x:row>
    <x:row r="212" ht="18" customHeight="1">
      <x:c r="A212" s="498"/>
      <x:c r="B212" s="498"/>
      <x:c r="C212" s="498"/>
      <x:c r="D212" s="498"/>
      <x:c r="E212" s="498"/>
      <x:c r="F212" s="498"/>
      <x:c r="G212" s="498"/>
      <x:c r="H212" s="498"/>
      <x:c r="I212" s="498"/>
      <x:c r="J212" s="498"/>
      <x:c r="K212" s="498"/>
      <x:c r="L212" s="498"/>
      <x:c r="M212" s="498"/>
    </x:row>
    <x:row r="213" ht="18" customHeight="1">
      <x:c r="A213" s="498"/>
      <x:c r="B213" s="529" t="str">
        <x:v>Note de calcul — Randy Oliver · DM3</x:v>
      </x:c>
      <x:c r="C213" s="529" t="str">
        <x:v>Note de calcul — Randy Oliver · DM3</x:v>
      </x:c>
      <x:c r="D213" s="529" t="str">
        <x:v>Note de calcul — Randy Oliver · DM3</x:v>
      </x:c>
      <x:c r="E213" s="529" t="str">
        <x:v>Note de calcul — Randy Oliver · DM3</x:v>
      </x:c>
      <x:c r="F213" s="529" t="str">
        <x:v>Note de calcul — Randy Oliver · DM3</x:v>
      </x:c>
      <x:c r="G213" s="529" t="str">
        <x:v>Note de calcul — Randy Oliver · DM3</x:v>
      </x:c>
      <x:c r="H213" s="529" t="str">
        <x:v>Note de calcul — Randy Oliver · DM3</x:v>
      </x:c>
      <x:c r="I213" s="529" t="str">
        <x:v>Note de calcul — Randy Oliver · DM3</x:v>
      </x:c>
      <x:c r="J213" s="529" t="str">
        <x:v>Note de calcul — Randy Oliver · DM3</x:v>
      </x:c>
      <x:c r="K213" s="529" t="str">
        <x:v>Note de calcul — Randy Oliver · DM3</x:v>
      </x:c>
      <x:c r="L213" s="529" t="str">
        <x:v>Note de calcul — Randy Oliver · DM3</x:v>
      </x:c>
      <x:c r="M213" s="529" t="str">
        <x:v>Note de calcul — Randy Oliver · DM3</x:v>
      </x:c>
    </x:row>
    <x:row r="214" ht="31" customHeight="1">
      <x:c r="A214" s="498"/>
      <x:c r="B214" s="508" t="str">
        <x:v>Randy Oliver :</x:v>
      </x:c>
      <x:c r="C214" s="508" t="str">
        <x:v>Randy Oliver :</x:v>
      </x:c>
      <x:c r="D214" s="508" t="str">
        <x:v>Randy Oliver :</x:v>
      </x:c>
      <x:c r="E214" s="508" t="str">
        <x:v>Randy Oliver :</x:v>
      </x:c>
      <x:c r="F214" s="508" t="str">
        <x:v>Randy Oliver :</x:v>
      </x:c>
      <x:c r="G214" s="508" t="str">
        <x:v>Randy Oliver :</x:v>
      </x:c>
      <x:c r="H214" s="508" t="str">
        <x:v>Randy Oliver :</x:v>
      </x:c>
      <x:c r="I214" s="508" t="str">
        <x:v>Randy Oliver :</x:v>
      </x:c>
      <x:c r="J214" s="508" t="str">
        <x:v>Randy Oliver :</x:v>
      </x:c>
      <x:c r="K214" s="508" t="str">
        <x:v>Randy Oliver :</x:v>
      </x:c>
      <x:c r="L214" s="508" t="str">
        <x:v>Randy Oliver :</x:v>
      </x:c>
      <x:c r="M214" s="508" t="str">
        <x:v>Randy Oliver :</x:v>
      </x:c>
    </x:row>
    <x:row r="215" ht="41.599998474121094" customHeight="1">
      <x:c r="A215" s="498"/>
      <x:c r="B215" s="508" t="str">
        <x:v>Les données d’immigration figurent dans l’onglet Profils de colonie, colonne AC. Elles sont fondées sur les données de Greatti, Sakofski, Mangum, Page et Frey, que j’ai représentées sous forme de courbes lissées.</x:v>
      </x:c>
      <x:c r="C215" s="508" t="str">
        <x:v>Les données d’immigration figurent dans l’onglet Profils de colonie, colonne AC. Elles sont fondées sur les données de Greatti, Sakofski, Mangum, Page et Frey, que j’ai représentées sous forme de courbes lissées.</x:v>
      </x:c>
      <x:c r="D215" s="508" t="str">
        <x:v>Les données d’immigration figurent dans l’onglet Profils de colonie, colonne AC. Elles sont fondées sur les données de Greatti, Sakofski, Mangum, Page et Frey, que j’ai représentées sous forme de courbes lissées.</x:v>
      </x:c>
      <x:c r="E215" s="508" t="str">
        <x:v>Les données d’immigration figurent dans l’onglet Profils de colonie, colonne AC. Elles sont fondées sur les données de Greatti, Sakofski, Mangum, Page et Frey, que j’ai représentées sous forme de courbes lissées.</x:v>
      </x:c>
      <x:c r="F215" s="508" t="str">
        <x:v>Les données d’immigration figurent dans l’onglet Profils de colonie, colonne AC. Elles sont fondées sur les données de Greatti, Sakofski, Mangum, Page et Frey, que j’ai représentées sous forme de courbes lissées.</x:v>
      </x:c>
      <x:c r="G215" s="508" t="str">
        <x:v>Les données d’immigration figurent dans l’onglet Profils de colonie, colonne AC. Elles sont fondées sur les données de Greatti, Sakofski, Mangum, Page et Frey, que j’ai représentées sous forme de courbes lissées.</x:v>
      </x:c>
      <x:c r="H215" s="508" t="str">
        <x:v>Les données d’immigration figurent dans l’onglet Profils de colonie, colonne AC. Elles sont fondées sur les données de Greatti, Sakofski, Mangum, Page et Frey, que j’ai représentées sous forme de courbes lissées.</x:v>
      </x:c>
      <x:c r="I215" s="508" t="str">
        <x:v>Les données d’immigration figurent dans l’onglet Profils de colonie, colonne AC. Elles sont fondées sur les données de Greatti, Sakofski, Mangum, Page et Frey, que j’ai représentées sous forme de courbes lissées.</x:v>
      </x:c>
      <x:c r="J215" s="508" t="str">
        <x:v>Les données d’immigration figurent dans l’onglet Profils de colonie, colonne AC. Elles sont fondées sur les données de Greatti, Sakofski, Mangum, Page et Frey, que j’ai représentées sous forme de courbes lissées.</x:v>
      </x:c>
      <x:c r="K215" s="508" t="str">
        <x:v>Les données d’immigration figurent dans l’onglet Profils de colonie, colonne AC. Elles sont fondées sur les données de Greatti, Sakofski, Mangum, Page et Frey, que j’ai représentées sous forme de courbes lissées.</x:v>
      </x:c>
      <x:c r="L215" s="508" t="str">
        <x:v>Les données d’immigration figurent dans l’onglet Profils de colonie, colonne AC. Elles sont fondées sur les données de Greatti, Sakofski, Mangum, Page et Frey, que j’ai représentées sous forme de courbes lissées.</x:v>
      </x:c>
      <x:c r="M215" s="508" t="str">
        <x:v>Les données d’immigration figurent dans l’onglet Profils de colonie, colonne AC. Elles sont fondées sur les données de Greatti, Sakofski, Mangum, Page et Frey, que j’ai représentées sous forme de courbes lissées.</x:v>
      </x:c>
    </x:row>
    <x:row r="216" ht="18" customHeight="1">
      <x:c r="A216" s="498"/>
      <x:c r="B216" s="498"/>
      <x:c r="C216" s="498"/>
      <x:c r="D216" s="498"/>
      <x:c r="E216" s="498"/>
      <x:c r="F216" s="498"/>
      <x:c r="G216" s="498"/>
      <x:c r="H216" s="498"/>
      <x:c r="I216" s="498"/>
      <x:c r="J216" s="498"/>
      <x:c r="K216" s="498"/>
      <x:c r="L216" s="498"/>
      <x:c r="M216" s="498"/>
    </x:row>
    <x:row r="217" ht="18" customHeight="1">
      <x:c r="A217" s="498"/>
      <x:c r="B217" s="529" t="str">
        <x:v>Note de calcul — Randy Oliver · DN3</x:v>
      </x:c>
      <x:c r="C217" s="529" t="str">
        <x:v>Note de calcul — Randy Oliver · DN3</x:v>
      </x:c>
      <x:c r="D217" s="529" t="str">
        <x:v>Note de calcul — Randy Oliver · DN3</x:v>
      </x:c>
      <x:c r="E217" s="529" t="str">
        <x:v>Note de calcul — Randy Oliver · DN3</x:v>
      </x:c>
      <x:c r="F217" s="529" t="str">
        <x:v>Note de calcul — Randy Oliver · DN3</x:v>
      </x:c>
      <x:c r="G217" s="529" t="str">
        <x:v>Note de calcul — Randy Oliver · DN3</x:v>
      </x:c>
      <x:c r="H217" s="529" t="str">
        <x:v>Note de calcul — Randy Oliver · DN3</x:v>
      </x:c>
      <x:c r="I217" s="529" t="str">
        <x:v>Note de calcul — Randy Oliver · DN3</x:v>
      </x:c>
      <x:c r="J217" s="529" t="str">
        <x:v>Note de calcul — Randy Oliver · DN3</x:v>
      </x:c>
      <x:c r="K217" s="529" t="str">
        <x:v>Note de calcul — Randy Oliver · DN3</x:v>
      </x:c>
      <x:c r="L217" s="529" t="str">
        <x:v>Note de calcul — Randy Oliver · DN3</x:v>
      </x:c>
      <x:c r="M217" s="529" t="str">
        <x:v>Note de calcul — Randy Oliver · DN3</x:v>
      </x:c>
    </x:row>
    <x:row r="218" ht="31" customHeight="1">
      <x:c r="A218" s="498"/>
      <x:c r="B218" s="508" t="str">
        <x:v>Randy Oliver :</x:v>
      </x:c>
      <x:c r="C218" s="508" t="str">
        <x:v>Randy Oliver :</x:v>
      </x:c>
      <x:c r="D218" s="508" t="str">
        <x:v>Randy Oliver :</x:v>
      </x:c>
      <x:c r="E218" s="508" t="str">
        <x:v>Randy Oliver :</x:v>
      </x:c>
      <x:c r="F218" s="508" t="str">
        <x:v>Randy Oliver :</x:v>
      </x:c>
      <x:c r="G218" s="508" t="str">
        <x:v>Randy Oliver :</x:v>
      </x:c>
      <x:c r="H218" s="508" t="str">
        <x:v>Randy Oliver :</x:v>
      </x:c>
      <x:c r="I218" s="508" t="str">
        <x:v>Randy Oliver :</x:v>
      </x:c>
      <x:c r="J218" s="508" t="str">
        <x:v>Randy Oliver :</x:v>
      </x:c>
      <x:c r="K218" s="508" t="str">
        <x:v>Randy Oliver :</x:v>
      </x:c>
      <x:c r="L218" s="508" t="str">
        <x:v>Randy Oliver :</x:v>
      </x:c>
      <x:c r="M218" s="508" t="str">
        <x:v>Randy Oliver :</x:v>
      </x:c>
    </x:row>
    <x:row r="219" ht="31" customHeight="1">
      <x:c r="A219" s="498"/>
      <x:c r="B219" s="508" t="str">
        <x:v>Voir « Calcul de la dérive des varroas hors de la ruche »</x:v>
      </x:c>
      <x:c r="C219" s="508" t="str">
        <x:v>Voir « Calcul de la dérive des varroas hors de la ruche »</x:v>
      </x:c>
      <x:c r="D219" s="508" t="str">
        <x:v>Voir « Calcul de la dérive des varroas hors de la ruche »</x:v>
      </x:c>
      <x:c r="E219" s="508" t="str">
        <x:v>Voir « Calcul de la dérive des varroas hors de la ruche »</x:v>
      </x:c>
      <x:c r="F219" s="508" t="str">
        <x:v>Voir « Calcul de la dérive des varroas hors de la ruche »</x:v>
      </x:c>
      <x:c r="G219" s="508" t="str">
        <x:v>Voir « Calcul de la dérive des varroas hors de la ruche »</x:v>
      </x:c>
      <x:c r="H219" s="508" t="str">
        <x:v>Voir « Calcul de la dérive des varroas hors de la ruche »</x:v>
      </x:c>
      <x:c r="I219" s="508" t="str">
        <x:v>Voir « Calcul de la dérive des varroas hors de la ruche »</x:v>
      </x:c>
      <x:c r="J219" s="508" t="str">
        <x:v>Voir « Calcul de la dérive des varroas hors de la ruche »</x:v>
      </x:c>
      <x:c r="K219" s="508" t="str">
        <x:v>Voir « Calcul de la dérive des varroas hors de la ruche »</x:v>
      </x:c>
      <x:c r="L219" s="508" t="str">
        <x:v>Voir « Calcul de la dérive des varroas hors de la ruche »</x:v>
      </x:c>
      <x:c r="M219" s="508" t="str">
        <x:v>Voir « Calcul de la dérive des varroas hors de la ruche »</x:v>
      </x:c>
    </x:row>
    <x:row r="220" ht="18" customHeight="1">
      <x:c r="A220" s="498"/>
      <x:c r="B220" s="498"/>
      <x:c r="C220" s="498"/>
      <x:c r="D220" s="498"/>
      <x:c r="E220" s="498"/>
      <x:c r="F220" s="498"/>
      <x:c r="G220" s="498"/>
      <x:c r="H220" s="498"/>
      <x:c r="I220" s="498"/>
      <x:c r="J220" s="498"/>
      <x:c r="K220" s="498"/>
      <x:c r="L220" s="498"/>
      <x:c r="M220" s="498"/>
    </x:row>
    <x:row r="221" ht="18" customHeight="1">
      <x:c r="A221" s="498"/>
      <x:c r="B221" s="529" t="str">
        <x:v>Note de calcul — Randy Oliver · DR3</x:v>
      </x:c>
      <x:c r="C221" s="529" t="str">
        <x:v>Note de calcul — Randy Oliver · DR3</x:v>
      </x:c>
      <x:c r="D221" s="529" t="str">
        <x:v>Note de calcul — Randy Oliver · DR3</x:v>
      </x:c>
      <x:c r="E221" s="529" t="str">
        <x:v>Note de calcul — Randy Oliver · DR3</x:v>
      </x:c>
      <x:c r="F221" s="529" t="str">
        <x:v>Note de calcul — Randy Oliver · DR3</x:v>
      </x:c>
      <x:c r="G221" s="529" t="str">
        <x:v>Note de calcul — Randy Oliver · DR3</x:v>
      </x:c>
      <x:c r="H221" s="529" t="str">
        <x:v>Note de calcul — Randy Oliver · DR3</x:v>
      </x:c>
      <x:c r="I221" s="529" t="str">
        <x:v>Note de calcul — Randy Oliver · DR3</x:v>
      </x:c>
      <x:c r="J221" s="529" t="str">
        <x:v>Note de calcul — Randy Oliver · DR3</x:v>
      </x:c>
      <x:c r="K221" s="529" t="str">
        <x:v>Note de calcul — Randy Oliver · DR3</x:v>
      </x:c>
      <x:c r="L221" s="529" t="str">
        <x:v>Note de calcul — Randy Oliver · DR3</x:v>
      </x:c>
      <x:c r="M221" s="529" t="str">
        <x:v>Note de calcul — Randy Oliver · DR3</x:v>
      </x:c>
    </x:row>
    <x:row r="222" ht="31" customHeight="1">
      <x:c r="A222" s="498"/>
      <x:c r="B222" s="508" t="str">
        <x:v>Randy Oliver :</x:v>
      </x:c>
      <x:c r="C222" s="508" t="str">
        <x:v>Randy Oliver :</x:v>
      </x:c>
      <x:c r="D222" s="508" t="str">
        <x:v>Randy Oliver :</x:v>
      </x:c>
      <x:c r="E222" s="508" t="str">
        <x:v>Randy Oliver :</x:v>
      </x:c>
      <x:c r="F222" s="508" t="str">
        <x:v>Randy Oliver :</x:v>
      </x:c>
      <x:c r="G222" s="508" t="str">
        <x:v>Randy Oliver :</x:v>
      </x:c>
      <x:c r="H222" s="508" t="str">
        <x:v>Randy Oliver :</x:v>
      </x:c>
      <x:c r="I222" s="508" t="str">
        <x:v>Randy Oliver :</x:v>
      </x:c>
      <x:c r="J222" s="508" t="str">
        <x:v>Randy Oliver :</x:v>
      </x:c>
      <x:c r="K222" s="508" t="str">
        <x:v>Randy Oliver :</x:v>
      </x:c>
      <x:c r="L222" s="508" t="str">
        <x:v>Randy Oliver :</x:v>
      </x:c>
      <x:c r="M222" s="508" t="str">
        <x:v>Randy Oliver :</x:v>
      </x:c>
    </x:row>
    <x:row r="223" ht="86" customHeight="1">
      <x:c r="A223" s="498"/>
      <x:c r="B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C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D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E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F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G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H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I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J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K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L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c r="M223" s="508" t="str">
        <x:v>Pourcentage de réduction du nombre total de varroas dans la ruche. J’ai placé arbitrairement ce calcul après la reproduction et la dérive. Ce calcul est bien sûr simplifié, car il suppose que la réduction se produit instantanément, alors que des traitements comme le thymol affectent la reproduction des varroas pendant au moins 20 jours. Cependant, les seules valeurs que nous saurions saisir seraient les efficacités globales calculées à la fin du traitement ; c’est donc probablement le mieux que nous puissions faire.</x:v>
      </x:c>
    </x:row>
    <x:row r="224" ht="18" customHeight="1">
      <x:c r="A224" s="498"/>
      <x:c r="B224" s="498"/>
      <x:c r="C224" s="498"/>
      <x:c r="D224" s="498"/>
      <x:c r="E224" s="498"/>
      <x:c r="F224" s="498"/>
      <x:c r="G224" s="498"/>
      <x:c r="H224" s="498"/>
      <x:c r="I224" s="498"/>
      <x:c r="J224" s="498"/>
      <x:c r="K224" s="498"/>
      <x:c r="L224" s="498"/>
      <x:c r="M224" s="498"/>
    </x:row>
    <x:row r="225" ht="18" customHeight="1">
      <x:c r="A225" s="498"/>
      <x:c r="B225" s="529" t="str">
        <x:v>Note de calcul — Randy Oliver · DY3</x:v>
      </x:c>
      <x:c r="C225" s="529" t="str">
        <x:v>Note de calcul — Randy Oliver · DY3</x:v>
      </x:c>
      <x:c r="D225" s="529" t="str">
        <x:v>Note de calcul — Randy Oliver · DY3</x:v>
      </x:c>
      <x:c r="E225" s="529" t="str">
        <x:v>Note de calcul — Randy Oliver · DY3</x:v>
      </x:c>
      <x:c r="F225" s="529" t="str">
        <x:v>Note de calcul — Randy Oliver · DY3</x:v>
      </x:c>
      <x:c r="G225" s="529" t="str">
        <x:v>Note de calcul — Randy Oliver · DY3</x:v>
      </x:c>
      <x:c r="H225" s="529" t="str">
        <x:v>Note de calcul — Randy Oliver · DY3</x:v>
      </x:c>
      <x:c r="I225" s="529" t="str">
        <x:v>Note de calcul — Randy Oliver · DY3</x:v>
      </x:c>
      <x:c r="J225" s="529" t="str">
        <x:v>Note de calcul — Randy Oliver · DY3</x:v>
      </x:c>
      <x:c r="K225" s="529" t="str">
        <x:v>Note de calcul — Randy Oliver · DY3</x:v>
      </x:c>
      <x:c r="L225" s="529" t="str">
        <x:v>Note de calcul — Randy Oliver · DY3</x:v>
      </x:c>
      <x:c r="M225" s="529" t="str">
        <x:v>Note de calcul — Randy Oliver · DY3</x:v>
      </x:c>
    </x:row>
    <x:row r="226" ht="31" customHeight="1">
      <x:c r="A226" s="498"/>
      <x:c r="B226" s="508" t="str">
        <x:v>Randy Oliver :</x:v>
      </x:c>
      <x:c r="C226" s="508" t="str">
        <x:v>Randy Oliver :</x:v>
      </x:c>
      <x:c r="D226" s="508" t="str">
        <x:v>Randy Oliver :</x:v>
      </x:c>
      <x:c r="E226" s="508" t="str">
        <x:v>Randy Oliver :</x:v>
      </x:c>
      <x:c r="F226" s="508" t="str">
        <x:v>Randy Oliver :</x:v>
      </x:c>
      <x:c r="G226" s="508" t="str">
        <x:v>Randy Oliver :</x:v>
      </x:c>
      <x:c r="H226" s="508" t="str">
        <x:v>Randy Oliver :</x:v>
      </x:c>
      <x:c r="I226" s="508" t="str">
        <x:v>Randy Oliver :</x:v>
      </x:c>
      <x:c r="J226" s="508" t="str">
        <x:v>Randy Oliver :</x:v>
      </x:c>
      <x:c r="K226" s="508" t="str">
        <x:v>Randy Oliver :</x:v>
      </x:c>
      <x:c r="L226" s="508" t="str">
        <x:v>Randy Oliver :</x:v>
      </x:c>
      <x:c r="M226" s="508" t="str">
        <x:v>Randy Oliver :</x:v>
      </x:c>
    </x:row>
    <x:row r="227" ht="41.599998474121094" customHeight="1">
      <x:c r="A227" s="498"/>
      <x:c r="B227" s="508" t="str">
        <x:v>J’ai introduit deux indicateurs d’effondrement : le premier lorsque le comptage des varroas phorétiques dépasse la valeur saisie en présence de couvain ; le second lorsque le couvain est absent.</x:v>
      </x:c>
      <x:c r="C227" s="508" t="str">
        <x:v>J’ai introduit deux indicateurs d’effondrement : le premier lorsque le comptage des varroas phorétiques dépasse la valeur saisie en présence de couvain ; le second lorsque le couvain est absent.</x:v>
      </x:c>
      <x:c r="D227" s="508" t="str">
        <x:v>J’ai introduit deux indicateurs d’effondrement : le premier lorsque le comptage des varroas phorétiques dépasse la valeur saisie en présence de couvain ; le second lorsque le couvain est absent.</x:v>
      </x:c>
      <x:c r="E227" s="508" t="str">
        <x:v>J’ai introduit deux indicateurs d’effondrement : le premier lorsque le comptage des varroas phorétiques dépasse la valeur saisie en présence de couvain ; le second lorsque le couvain est absent.</x:v>
      </x:c>
      <x:c r="F227" s="508" t="str">
        <x:v>J’ai introduit deux indicateurs d’effondrement : le premier lorsque le comptage des varroas phorétiques dépasse la valeur saisie en présence de couvain ; le second lorsque le couvain est absent.</x:v>
      </x:c>
      <x:c r="G227" s="508" t="str">
        <x:v>J’ai introduit deux indicateurs d’effondrement : le premier lorsque le comptage des varroas phorétiques dépasse la valeur saisie en présence de couvain ; le second lorsque le couvain est absent.</x:v>
      </x:c>
      <x:c r="H227" s="508" t="str">
        <x:v>J’ai introduit deux indicateurs d’effondrement : le premier lorsque le comptage des varroas phorétiques dépasse la valeur saisie en présence de couvain ; le second lorsque le couvain est absent.</x:v>
      </x:c>
      <x:c r="I227" s="508" t="str">
        <x:v>J’ai introduit deux indicateurs d’effondrement : le premier lorsque le comptage des varroas phorétiques dépasse la valeur saisie en présence de couvain ; le second lorsque le couvain est absent.</x:v>
      </x:c>
      <x:c r="J227" s="508" t="str">
        <x:v>J’ai introduit deux indicateurs d’effondrement : le premier lorsque le comptage des varroas phorétiques dépasse la valeur saisie en présence de couvain ; le second lorsque le couvain est absent.</x:v>
      </x:c>
      <x:c r="K227" s="508" t="str">
        <x:v>J’ai introduit deux indicateurs d’effondrement : le premier lorsque le comptage des varroas phorétiques dépasse la valeur saisie en présence de couvain ; le second lorsque le couvain est absent.</x:v>
      </x:c>
      <x:c r="L227" s="508" t="str">
        <x:v>J’ai introduit deux indicateurs d’effondrement : le premier lorsque le comptage des varroas phorétiques dépasse la valeur saisie en présence de couvain ; le second lorsque le couvain est absent.</x:v>
      </x:c>
      <x:c r="M227" s="508" t="str">
        <x:v>J’ai introduit deux indicateurs d’effondrement : le premier lorsque le comptage des varroas phorétiques dépasse la valeur saisie en présence de couvain ; le second lorsque le couvain est absent.</x:v>
      </x:c>
    </x:row>
    <x:row r="228" ht="18" customHeight="1">
      <x:c r="A228" s="498"/>
      <x:c r="B228" s="498"/>
      <x:c r="C228" s="498"/>
      <x:c r="D228" s="498"/>
      <x:c r="E228" s="498"/>
      <x:c r="F228" s="498"/>
      <x:c r="G228" s="498"/>
      <x:c r="H228" s="498"/>
      <x:c r="I228" s="498"/>
      <x:c r="J228" s="498"/>
      <x:c r="K228" s="498"/>
      <x:c r="L228" s="498"/>
      <x:c r="M228" s="498"/>
    </x:row>
    <x:row r="229" ht="18" customHeight="1">
      <x:c r="A229" s="498"/>
      <x:c r="B229" s="529" t="str">
        <x:v>Note de calcul — Randy Oliver · EC3</x:v>
      </x:c>
      <x:c r="C229" s="529" t="str">
        <x:v>Note de calcul — Randy Oliver · EC3</x:v>
      </x:c>
      <x:c r="D229" s="529" t="str">
        <x:v>Note de calcul — Randy Oliver · EC3</x:v>
      </x:c>
      <x:c r="E229" s="529" t="str">
        <x:v>Note de calcul — Randy Oliver · EC3</x:v>
      </x:c>
      <x:c r="F229" s="529" t="str">
        <x:v>Note de calcul — Randy Oliver · EC3</x:v>
      </x:c>
      <x:c r="G229" s="529" t="str">
        <x:v>Note de calcul — Randy Oliver · EC3</x:v>
      </x:c>
      <x:c r="H229" s="529" t="str">
        <x:v>Note de calcul — Randy Oliver · EC3</x:v>
      </x:c>
      <x:c r="I229" s="529" t="str">
        <x:v>Note de calcul — Randy Oliver · EC3</x:v>
      </x:c>
      <x:c r="J229" s="529" t="str">
        <x:v>Note de calcul — Randy Oliver · EC3</x:v>
      </x:c>
      <x:c r="K229" s="529" t="str">
        <x:v>Note de calcul — Randy Oliver · EC3</x:v>
      </x:c>
      <x:c r="L229" s="529" t="str">
        <x:v>Note de calcul — Randy Oliver · EC3</x:v>
      </x:c>
      <x:c r="M229" s="529" t="str">
        <x:v>Note de calcul — Randy Oliver · EC3</x:v>
      </x:c>
    </x:row>
    <x:row r="230" ht="31" customHeight="1">
      <x:c r="A230" s="498"/>
      <x:c r="B230" s="508" t="str">
        <x:v>Randy Oliver :</x:v>
      </x:c>
      <x:c r="C230" s="508" t="str">
        <x:v>Randy Oliver :</x:v>
      </x:c>
      <x:c r="D230" s="508" t="str">
        <x:v>Randy Oliver :</x:v>
      </x:c>
      <x:c r="E230" s="508" t="str">
        <x:v>Randy Oliver :</x:v>
      </x:c>
      <x:c r="F230" s="508" t="str">
        <x:v>Randy Oliver :</x:v>
      </x:c>
      <x:c r="G230" s="508" t="str">
        <x:v>Randy Oliver :</x:v>
      </x:c>
      <x:c r="H230" s="508" t="str">
        <x:v>Randy Oliver :</x:v>
      </x:c>
      <x:c r="I230" s="508" t="str">
        <x:v>Randy Oliver :</x:v>
      </x:c>
      <x:c r="J230" s="508" t="str">
        <x:v>Randy Oliver :</x:v>
      </x:c>
      <x:c r="K230" s="508" t="str">
        <x:v>Randy Oliver :</x:v>
      </x:c>
      <x:c r="L230" s="508" t="str">
        <x:v>Randy Oliver :</x:v>
      </x:c>
      <x:c r="M230" s="508" t="str">
        <x:v>Randy Oliver :</x:v>
      </x:c>
    </x:row>
    <x:row r="231" ht="56.400001525878906" customHeight="1">
      <x:c r="A231" s="498"/>
      <x:c r="B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C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D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E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F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G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H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I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J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K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L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c r="M231" s="508" t="str">
        <x:v>Presque toute la mortalité des abeilles adultes se produit à l’extérieur de la ruche. J’ai donc simplement calculé le nombre d’adultes mourant par période, puis utilisé la valeur saisie en B46 et le taux d’infestation phorétique pour calculer le nombre de varroas perdus.</x:v>
      </x:c>
    </x:row>
    <x:row r="232" ht="18" customHeight="1">
      <x:c r="A232" s="498"/>
      <x:c r="B232" s="498"/>
      <x:c r="C232" s="498"/>
      <x:c r="D232" s="498"/>
      <x:c r="E232" s="498"/>
      <x:c r="F232" s="498"/>
      <x:c r="G232" s="498"/>
      <x:c r="H232" s="498"/>
      <x:c r="I232" s="498"/>
      <x:c r="J232" s="498"/>
      <x:c r="K232" s="498"/>
      <x:c r="L232" s="498"/>
      <x:c r="M232" s="498"/>
    </x:row>
    <x:row r="233" ht="18" customHeight="1">
      <x:c r="A233" s="498"/>
      <x:c r="B233" s="529" t="str">
        <x:v>Note de calcul — Randy Oliver · EG3</x:v>
      </x:c>
      <x:c r="C233" s="529" t="str">
        <x:v>Note de calcul — Randy Oliver · EG3</x:v>
      </x:c>
      <x:c r="D233" s="529" t="str">
        <x:v>Note de calcul — Randy Oliver · EG3</x:v>
      </x:c>
      <x:c r="E233" s="529" t="str">
        <x:v>Note de calcul — Randy Oliver · EG3</x:v>
      </x:c>
      <x:c r="F233" s="529" t="str">
        <x:v>Note de calcul — Randy Oliver · EG3</x:v>
      </x:c>
      <x:c r="G233" s="529" t="str">
        <x:v>Note de calcul — Randy Oliver · EG3</x:v>
      </x:c>
      <x:c r="H233" s="529" t="str">
        <x:v>Note de calcul — Randy Oliver · EG3</x:v>
      </x:c>
      <x:c r="I233" s="529" t="str">
        <x:v>Note de calcul — Randy Oliver · EG3</x:v>
      </x:c>
      <x:c r="J233" s="529" t="str">
        <x:v>Note de calcul — Randy Oliver · EG3</x:v>
      </x:c>
      <x:c r="K233" s="529" t="str">
        <x:v>Note de calcul — Randy Oliver · EG3</x:v>
      </x:c>
      <x:c r="L233" s="529" t="str">
        <x:v>Note de calcul — Randy Oliver · EG3</x:v>
      </x:c>
      <x:c r="M233" s="529" t="str">
        <x:v>Note de calcul — Randy Oliver · EG3</x:v>
      </x:c>
    </x:row>
    <x:row r="234" ht="31" customHeight="1">
      <x:c r="A234" s="498"/>
      <x:c r="B234" s="508" t="str">
        <x:v>Randy Oliver :</x:v>
      </x:c>
      <x:c r="C234" s="508" t="str">
        <x:v>Randy Oliver :</x:v>
      </x:c>
      <x:c r="D234" s="508" t="str">
        <x:v>Randy Oliver :</x:v>
      </x:c>
      <x:c r="E234" s="508" t="str">
        <x:v>Randy Oliver :</x:v>
      </x:c>
      <x:c r="F234" s="508" t="str">
        <x:v>Randy Oliver :</x:v>
      </x:c>
      <x:c r="G234" s="508" t="str">
        <x:v>Randy Oliver :</x:v>
      </x:c>
      <x:c r="H234" s="508" t="str">
        <x:v>Randy Oliver :</x:v>
      </x:c>
      <x:c r="I234" s="508" t="str">
        <x:v>Randy Oliver :</x:v>
      </x:c>
      <x:c r="J234" s="508" t="str">
        <x:v>Randy Oliver :</x:v>
      </x:c>
      <x:c r="K234" s="508" t="str">
        <x:v>Randy Oliver :</x:v>
      </x:c>
      <x:c r="L234" s="508" t="str">
        <x:v>Randy Oliver :</x:v>
      </x:c>
      <x:c r="M234" s="508" t="str">
        <x:v>Randy Oliver :</x:v>
      </x:c>
    </x:row>
    <x:row r="235" ht="31" customHeight="1">
      <x:c r="A235" s="498"/>
      <x:c r="B235" s="508" t="str">
        <x:v>Voir Cervo 2014</x:v>
      </x:c>
      <x:c r="C235" s="508" t="str">
        <x:v>Voir Cervo 2014</x:v>
      </x:c>
      <x:c r="D235" s="508" t="str">
        <x:v>Voir Cervo 2014</x:v>
      </x:c>
      <x:c r="E235" s="508" t="str">
        <x:v>Voir Cervo 2014</x:v>
      </x:c>
      <x:c r="F235" s="508" t="str">
        <x:v>Voir Cervo 2014</x:v>
      </x:c>
      <x:c r="G235" s="508" t="str">
        <x:v>Voir Cervo 2014</x:v>
      </x:c>
      <x:c r="H235" s="508" t="str">
        <x:v>Voir Cervo 2014</x:v>
      </x:c>
      <x:c r="I235" s="508" t="str">
        <x:v>Voir Cervo 2014</x:v>
      </x:c>
      <x:c r="J235" s="508" t="str">
        <x:v>Voir Cervo 2014</x:v>
      </x:c>
      <x:c r="K235" s="508" t="str">
        <x:v>Voir Cervo 2014</x:v>
      </x:c>
      <x:c r="L235" s="508" t="str">
        <x:v>Voir Cervo 2014</x:v>
      </x:c>
      <x:c r="M235" s="508" t="str">
        <x:v>Voir Cervo 2014</x:v>
      </x:c>
    </x:row>
    <x:row r="236" ht="18" customHeight="1">
      <x:c r="A236" s="498"/>
      <x:c r="B236" s="498"/>
      <x:c r="C236" s="498"/>
      <x:c r="D236" s="498"/>
      <x:c r="E236" s="498"/>
      <x:c r="F236" s="498"/>
      <x:c r="G236" s="498"/>
      <x:c r="H236" s="498"/>
      <x:c r="I236" s="498"/>
      <x:c r="J236" s="498"/>
      <x:c r="K236" s="498"/>
      <x:c r="L236" s="498"/>
      <x:c r="M236" s="498"/>
    </x:row>
    <x:row r="237" ht="18" customHeight="1">
      <x:c r="A237" s="498"/>
      <x:c r="B237" s="529" t="str">
        <x:v>Note de calcul — Randy Oliver · EH3</x:v>
      </x:c>
      <x:c r="C237" s="529" t="str">
        <x:v>Note de calcul — Randy Oliver · EH3</x:v>
      </x:c>
      <x:c r="D237" s="529" t="str">
        <x:v>Note de calcul — Randy Oliver · EH3</x:v>
      </x:c>
      <x:c r="E237" s="529" t="str">
        <x:v>Note de calcul — Randy Oliver · EH3</x:v>
      </x:c>
      <x:c r="F237" s="529" t="str">
        <x:v>Note de calcul — Randy Oliver · EH3</x:v>
      </x:c>
      <x:c r="G237" s="529" t="str">
        <x:v>Note de calcul — Randy Oliver · EH3</x:v>
      </x:c>
      <x:c r="H237" s="529" t="str">
        <x:v>Note de calcul — Randy Oliver · EH3</x:v>
      </x:c>
      <x:c r="I237" s="529" t="str">
        <x:v>Note de calcul — Randy Oliver · EH3</x:v>
      </x:c>
      <x:c r="J237" s="529" t="str">
        <x:v>Note de calcul — Randy Oliver · EH3</x:v>
      </x:c>
      <x:c r="K237" s="529" t="str">
        <x:v>Note de calcul — Randy Oliver · EH3</x:v>
      </x:c>
      <x:c r="L237" s="529" t="str">
        <x:v>Note de calcul — Randy Oliver · EH3</x:v>
      </x:c>
      <x:c r="M237" s="529" t="str">
        <x:v>Note de calcul — Randy Oliver · EH3</x:v>
      </x:c>
    </x:row>
    <x:row r="238" ht="31" customHeight="1">
      <x:c r="A238" s="498"/>
      <x:c r="B238" s="508" t="str">
        <x:v>Randy Oliver :</x:v>
      </x:c>
      <x:c r="C238" s="508" t="str">
        <x:v>Randy Oliver :</x:v>
      </x:c>
      <x:c r="D238" s="508" t="str">
        <x:v>Randy Oliver :</x:v>
      </x:c>
      <x:c r="E238" s="508" t="str">
        <x:v>Randy Oliver :</x:v>
      </x:c>
      <x:c r="F238" s="508" t="str">
        <x:v>Randy Oliver :</x:v>
      </x:c>
      <x:c r="G238" s="508" t="str">
        <x:v>Randy Oliver :</x:v>
      </x:c>
      <x:c r="H238" s="508" t="str">
        <x:v>Randy Oliver :</x:v>
      </x:c>
      <x:c r="I238" s="508" t="str">
        <x:v>Randy Oliver :</x:v>
      </x:c>
      <x:c r="J238" s="508" t="str">
        <x:v>Randy Oliver :</x:v>
      </x:c>
      <x:c r="K238" s="508" t="str">
        <x:v>Randy Oliver :</x:v>
      </x:c>
      <x:c r="L238" s="508" t="str">
        <x:v>Randy Oliver :</x:v>
      </x:c>
      <x:c r="M238" s="508" t="str">
        <x:v>Randy Oliver :</x:v>
      </x:c>
    </x:row>
    <x:row r="239" ht="31" customHeight="1">
      <x:c r="A239" s="498"/>
      <x:c r="B239" s="508" t="str">
        <x:v>Kralj 2006 : de 9 à 30 % des abeilles infestées qui sortent ne reviennent pas.</x:v>
      </x:c>
      <x:c r="C239" s="508" t="str">
        <x:v>Kralj 2006 : de 9 à 30 % des abeilles infestées qui sortent ne reviennent pas.</x:v>
      </x:c>
      <x:c r="D239" s="508" t="str">
        <x:v>Kralj 2006 : de 9 à 30 % des abeilles infestées qui sortent ne reviennent pas.</x:v>
      </x:c>
      <x:c r="E239" s="508" t="str">
        <x:v>Kralj 2006 : de 9 à 30 % des abeilles infestées qui sortent ne reviennent pas.</x:v>
      </x:c>
      <x:c r="F239" s="508" t="str">
        <x:v>Kralj 2006 : de 9 à 30 % des abeilles infestées qui sortent ne reviennent pas.</x:v>
      </x:c>
      <x:c r="G239" s="508" t="str">
        <x:v>Kralj 2006 : de 9 à 30 % des abeilles infestées qui sortent ne reviennent pas.</x:v>
      </x:c>
      <x:c r="H239" s="508" t="str">
        <x:v>Kralj 2006 : de 9 à 30 % des abeilles infestées qui sortent ne reviennent pas.</x:v>
      </x:c>
      <x:c r="I239" s="508" t="str">
        <x:v>Kralj 2006 : de 9 à 30 % des abeilles infestées qui sortent ne reviennent pas.</x:v>
      </x:c>
      <x:c r="J239" s="508" t="str">
        <x:v>Kralj 2006 : de 9 à 30 % des abeilles infestées qui sortent ne reviennent pas.</x:v>
      </x:c>
      <x:c r="K239" s="508" t="str">
        <x:v>Kralj 2006 : de 9 à 30 % des abeilles infestées qui sortent ne reviennent pas.</x:v>
      </x:c>
      <x:c r="L239" s="508" t="str">
        <x:v>Kralj 2006 : de 9 à 30 % des abeilles infestées qui sortent ne reviennent pas.</x:v>
      </x:c>
      <x:c r="M239" s="508" t="str">
        <x:v>Kralj 2006 : de 9 à 30 % des abeilles infestées qui sortent ne reviennent pas.</x:v>
      </x:c>
    </x:row>
    <x:row r="240" ht="18" customHeight="1">
      <x:c r="A240" s="498"/>
      <x:c r="B240" s="498"/>
      <x:c r="C240" s="498"/>
      <x:c r="D240" s="498"/>
      <x:c r="E240" s="498"/>
      <x:c r="F240" s="498"/>
      <x:c r="G240" s="498"/>
      <x:c r="H240" s="498"/>
      <x:c r="I240" s="498"/>
      <x:c r="J240" s="498"/>
      <x:c r="K240" s="498"/>
      <x:c r="L240" s="498"/>
      <x:c r="M240" s="498"/>
    </x:row>
    <x:row r="241" ht="18" customHeight="1">
      <x:c r="A241" s="498"/>
      <x:c r="B241" s="529" t="str">
        <x:v>Note de calcul — Randy Oliver · EK3</x:v>
      </x:c>
      <x:c r="C241" s="529" t="str">
        <x:v>Note de calcul — Randy Oliver · EK3</x:v>
      </x:c>
      <x:c r="D241" s="529" t="str">
        <x:v>Note de calcul — Randy Oliver · EK3</x:v>
      </x:c>
      <x:c r="E241" s="529" t="str">
        <x:v>Note de calcul — Randy Oliver · EK3</x:v>
      </x:c>
      <x:c r="F241" s="529" t="str">
        <x:v>Note de calcul — Randy Oliver · EK3</x:v>
      </x:c>
      <x:c r="G241" s="529" t="str">
        <x:v>Note de calcul — Randy Oliver · EK3</x:v>
      </x:c>
      <x:c r="H241" s="529" t="str">
        <x:v>Note de calcul — Randy Oliver · EK3</x:v>
      </x:c>
      <x:c r="I241" s="529" t="str">
        <x:v>Note de calcul — Randy Oliver · EK3</x:v>
      </x:c>
      <x:c r="J241" s="529" t="str">
        <x:v>Note de calcul — Randy Oliver · EK3</x:v>
      </x:c>
      <x:c r="K241" s="529" t="str">
        <x:v>Note de calcul — Randy Oliver · EK3</x:v>
      </x:c>
      <x:c r="L241" s="529" t="str">
        <x:v>Note de calcul — Randy Oliver · EK3</x:v>
      </x:c>
      <x:c r="M241" s="529" t="str">
        <x:v>Note de calcul — Randy Oliver · EK3</x:v>
      </x:c>
    </x:row>
    <x:row r="242" ht="31" customHeight="1">
      <x:c r="A242" s="498"/>
      <x:c r="B242" s="508" t="str">
        <x:v>Randy Oliver :</x:v>
      </x:c>
      <x:c r="C242" s="508" t="str">
        <x:v>Randy Oliver :</x:v>
      </x:c>
      <x:c r="D242" s="508" t="str">
        <x:v>Randy Oliver :</x:v>
      </x:c>
      <x:c r="E242" s="508" t="str">
        <x:v>Randy Oliver :</x:v>
      </x:c>
      <x:c r="F242" s="508" t="str">
        <x:v>Randy Oliver :</x:v>
      </x:c>
      <x:c r="G242" s="508" t="str">
        <x:v>Randy Oliver :</x:v>
      </x:c>
      <x:c r="H242" s="508" t="str">
        <x:v>Randy Oliver :</x:v>
      </x:c>
      <x:c r="I242" s="508" t="str">
        <x:v>Randy Oliver :</x:v>
      </x:c>
      <x:c r="J242" s="508" t="str">
        <x:v>Randy Oliver :</x:v>
      </x:c>
      <x:c r="K242" s="508" t="str">
        <x:v>Randy Oliver :</x:v>
      </x:c>
      <x:c r="L242" s="508" t="str">
        <x:v>Randy Oliver :</x:v>
      </x:c>
      <x:c r="M242" s="508" t="str">
        <x:v>Randy Oliver :</x:v>
      </x:c>
    </x:row>
    <x:row r="243" ht="56.400001525878906" customHeight="1">
      <x:c r="A243" s="498"/>
      <x:c r="B243" s="508" t="str">
        <x:v>Je vois maintenant qu’il faut recalculer ceci pour refléter le pourcentage de varroas ayant survécu assez longtemps pour accomplir 3 cycles reproductifs, en fonction de la durée phorétique appropriée et de la mortalité naturelle.</x:v>
      </x:c>
      <x:c r="C243" s="508" t="str">
        <x:v>Je vois maintenant qu’il faut recalculer ceci pour refléter le pourcentage de varroas ayant survécu assez longtemps pour accomplir 3 cycles reproductifs, en fonction de la durée phorétique appropriée et de la mortalité naturelle.</x:v>
      </x:c>
      <x:c r="D243" s="508" t="str">
        <x:v>Je vois maintenant qu’il faut recalculer ceci pour refléter le pourcentage de varroas ayant survécu assez longtemps pour accomplir 3 cycles reproductifs, en fonction de la durée phorétique appropriée et de la mortalité naturelle.</x:v>
      </x:c>
      <x:c r="E243" s="508" t="str">
        <x:v>Je vois maintenant qu’il faut recalculer ceci pour refléter le pourcentage de varroas ayant survécu assez longtemps pour accomplir 3 cycles reproductifs, en fonction de la durée phorétique appropriée et de la mortalité naturelle.</x:v>
      </x:c>
      <x:c r="F243" s="508" t="str">
        <x:v>Je vois maintenant qu’il faut recalculer ceci pour refléter le pourcentage de varroas ayant survécu assez longtemps pour accomplir 3 cycles reproductifs, en fonction de la durée phorétique appropriée et de la mortalité naturelle.</x:v>
      </x:c>
      <x:c r="G243" s="508" t="str">
        <x:v>Je vois maintenant qu’il faut recalculer ceci pour refléter le pourcentage de varroas ayant survécu assez longtemps pour accomplir 3 cycles reproductifs, en fonction de la durée phorétique appropriée et de la mortalité naturelle.</x:v>
      </x:c>
      <x:c r="H243" s="508" t="str">
        <x:v>Je vois maintenant qu’il faut recalculer ceci pour refléter le pourcentage de varroas ayant survécu assez longtemps pour accomplir 3 cycles reproductifs, en fonction de la durée phorétique appropriée et de la mortalité naturelle.</x:v>
      </x:c>
      <x:c r="I243" s="508" t="str">
        <x:v>Je vois maintenant qu’il faut recalculer ceci pour refléter le pourcentage de varroas ayant survécu assez longtemps pour accomplir 3 cycles reproductifs, en fonction de la durée phorétique appropriée et de la mortalité naturelle.</x:v>
      </x:c>
      <x:c r="J243" s="508" t="str">
        <x:v>Je vois maintenant qu’il faut recalculer ceci pour refléter le pourcentage de varroas ayant survécu assez longtemps pour accomplir 3 cycles reproductifs, en fonction de la durée phorétique appropriée et de la mortalité naturelle.</x:v>
      </x:c>
      <x:c r="K243" s="508" t="str">
        <x:v>Je vois maintenant qu’il faut recalculer ceci pour refléter le pourcentage de varroas ayant survécu assez longtemps pour accomplir 3 cycles reproductifs, en fonction de la durée phorétique appropriée et de la mortalité naturelle.</x:v>
      </x:c>
      <x:c r="L243" s="508" t="str">
        <x:v>Je vois maintenant qu’il faut recalculer ceci pour refléter le pourcentage de varroas ayant survécu assez longtemps pour accomplir 3 cycles reproductifs, en fonction de la durée phorétique appropriée et de la mortalité naturelle.</x:v>
      </x:c>
      <x:c r="M243" s="508" t="str">
        <x:v>Je vois maintenant qu’il faut recalculer ceci pour refléter le pourcentage de varroas ayant survécu assez longtemps pour accomplir 3 cycles reproductifs, en fonction de la durée phorétique appropriée et de la mortalité naturelle.</x:v>
      </x:c>
    </x:row>
    <x:row r="244" ht="115.5999984741211" customHeight="1">
      <x:c r="A244" s="498"/>
      <x:c r="B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C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D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E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F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G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H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I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J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K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L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c r="M244" s="508" t="str">
        <x:v>Ajustement pour le vieillissement de la population de varroas : Stephen Martin (communication personnelle) suggère qu’à mesure que la population de varroas augmente, la proportion de varroas non fécondés ou « épuisés » sur le plan reproductif augmente. Bien que ces varroas soient encore détectés lors d’un comptage par lavage à l’alcool et continuent probablement à envahir les cellules de couvain, leur taux de reproduction réussie diminuerait. Cela réduirait la proportion de réussite reproductive des varroas. Toutefois, les raisons pour lesquelles certains varroas ne se reproduisent pas restent mal comprises (voir Garrido &amp; Rosenkranz 2003 ; Kirrane 2011).</x:v>
      </x:c>
    </x:row>
    <x:row r="245" ht="41.599998474121094" customHeight="1">
      <x:c r="A245" s="498"/>
      <x:c r="B245" s="508" t="str">
        <x:v>De Ruijter (1987) a constaté qu’un varroa peut potentiellement accomplir 6 cycles reproductifs. Cependant, peu de varroas le font probablement.</x:v>
      </x:c>
      <x:c r="C245" s="508" t="str">
        <x:v>De Ruijter (1987) a constaté qu’un varroa peut potentiellement accomplir 6 cycles reproductifs. Cependant, peu de varroas le font probablement.</x:v>
      </x:c>
      <x:c r="D245" s="508" t="str">
        <x:v>De Ruijter (1987) a constaté qu’un varroa peut potentiellement accomplir 6 cycles reproductifs. Cependant, peu de varroas le font probablement.</x:v>
      </x:c>
      <x:c r="E245" s="508" t="str">
        <x:v>De Ruijter (1987) a constaté qu’un varroa peut potentiellement accomplir 6 cycles reproductifs. Cependant, peu de varroas le font probablement.</x:v>
      </x:c>
      <x:c r="F245" s="508" t="str">
        <x:v>De Ruijter (1987) a constaté qu’un varroa peut potentiellement accomplir 6 cycles reproductifs. Cependant, peu de varroas le font probablement.</x:v>
      </x:c>
      <x:c r="G245" s="508" t="str">
        <x:v>De Ruijter (1987) a constaté qu’un varroa peut potentiellement accomplir 6 cycles reproductifs. Cependant, peu de varroas le font probablement.</x:v>
      </x:c>
      <x:c r="H245" s="508" t="str">
        <x:v>De Ruijter (1987) a constaté qu’un varroa peut potentiellement accomplir 6 cycles reproductifs. Cependant, peu de varroas le font probablement.</x:v>
      </x:c>
      <x:c r="I245" s="508" t="str">
        <x:v>De Ruijter (1987) a constaté qu’un varroa peut potentiellement accomplir 6 cycles reproductifs. Cependant, peu de varroas le font probablement.</x:v>
      </x:c>
      <x:c r="J245" s="508" t="str">
        <x:v>De Ruijter (1987) a constaté qu’un varroa peut potentiellement accomplir 6 cycles reproductifs. Cependant, peu de varroas le font probablement.</x:v>
      </x:c>
      <x:c r="K245" s="508" t="str">
        <x:v>De Ruijter (1987) a constaté qu’un varroa peut potentiellement accomplir 6 cycles reproductifs. Cependant, peu de varroas le font probablement.</x:v>
      </x:c>
      <x:c r="L245" s="508" t="str">
        <x:v>De Ruijter (1987) a constaté qu’un varroa peut potentiellement accomplir 6 cycles reproductifs. Cependant, peu de varroas le font probablement.</x:v>
      </x:c>
      <x:c r="M245" s="508" t="str">
        <x:v>De Ruijter (1987) a constaté qu’un varroa peut potentiellement accomplir 6 cycles reproductifs. Cependant, peu de varroas le font probablement.</x:v>
      </x:c>
    </x:row>
    <x:row r="246" ht="31" customHeight="1">
      <x:c r="A246" s="498"/>
      <x:c r="B246" s="508" t="str">
        <x:v>Donze (1996) a constaté qu’un varroa bien fécondé contient environ 30 spermatozoïdes dans sa spermathèque.</x:v>
      </x:c>
      <x:c r="C246" s="508" t="str">
        <x:v>Donze (1996) a constaté qu’un varroa bien fécondé contient environ 30 spermatozoïdes dans sa spermathèque.</x:v>
      </x:c>
      <x:c r="D246" s="508" t="str">
        <x:v>Donze (1996) a constaté qu’un varroa bien fécondé contient environ 30 spermatozoïdes dans sa spermathèque.</x:v>
      </x:c>
      <x:c r="E246" s="508" t="str">
        <x:v>Donze (1996) a constaté qu’un varroa bien fécondé contient environ 30 spermatozoïdes dans sa spermathèque.</x:v>
      </x:c>
      <x:c r="F246" s="508" t="str">
        <x:v>Donze (1996) a constaté qu’un varroa bien fécondé contient environ 30 spermatozoïdes dans sa spermathèque.</x:v>
      </x:c>
      <x:c r="G246" s="508" t="str">
        <x:v>Donze (1996) a constaté qu’un varroa bien fécondé contient environ 30 spermatozoïdes dans sa spermathèque.</x:v>
      </x:c>
      <x:c r="H246" s="508" t="str">
        <x:v>Donze (1996) a constaté qu’un varroa bien fécondé contient environ 30 spermatozoïdes dans sa spermathèque.</x:v>
      </x:c>
      <x:c r="I246" s="508" t="str">
        <x:v>Donze (1996) a constaté qu’un varroa bien fécondé contient environ 30 spermatozoïdes dans sa spermathèque.</x:v>
      </x:c>
      <x:c r="J246" s="508" t="str">
        <x:v>Donze (1996) a constaté qu’un varroa bien fécondé contient environ 30 spermatozoïdes dans sa spermathèque.</x:v>
      </x:c>
      <x:c r="K246" s="508" t="str">
        <x:v>Donze (1996) a constaté qu’un varroa bien fécondé contient environ 30 spermatozoïdes dans sa spermathèque.</x:v>
      </x:c>
      <x:c r="L246" s="508" t="str">
        <x:v>Donze (1996) a constaté qu’un varroa bien fécondé contient environ 30 spermatozoïdes dans sa spermathèque.</x:v>
      </x:c>
      <x:c r="M246" s="508" t="str">
        <x:v>Donze (1996) a constaté qu’un varroa bien fécondé contient environ 30 spermatozoïdes dans sa spermathèque.</x:v>
      </x:c>
    </x:row>
    <x:row r="247" ht="41.599998474121094" customHeight="1">
      <x:c r="A247" s="498"/>
      <x:c r="B247" s="508" t="str">
        <x:v>Comme un varroa pond habituellement 4 œufs par cycle, il semble qu’un seul spermatozoïde soit utilisé pour féconder chaque œuf.</x:v>
      </x:c>
      <x:c r="C247" s="508" t="str">
        <x:v>Comme un varroa pond habituellement 4 œufs par cycle, il semble qu’un seul spermatozoïde soit utilisé pour féconder chaque œuf.</x:v>
      </x:c>
      <x:c r="D247" s="508" t="str">
        <x:v>Comme un varroa pond habituellement 4 œufs par cycle, il semble qu’un seul spermatozoïde soit utilisé pour féconder chaque œuf.</x:v>
      </x:c>
      <x:c r="E247" s="508" t="str">
        <x:v>Comme un varroa pond habituellement 4 œufs par cycle, il semble qu’un seul spermatozoïde soit utilisé pour féconder chaque œuf.</x:v>
      </x:c>
      <x:c r="F247" s="508" t="str">
        <x:v>Comme un varroa pond habituellement 4 œufs par cycle, il semble qu’un seul spermatozoïde soit utilisé pour féconder chaque œuf.</x:v>
      </x:c>
      <x:c r="G247" s="508" t="str">
        <x:v>Comme un varroa pond habituellement 4 œufs par cycle, il semble qu’un seul spermatozoïde soit utilisé pour féconder chaque œuf.</x:v>
      </x:c>
      <x:c r="H247" s="508" t="str">
        <x:v>Comme un varroa pond habituellement 4 œufs par cycle, il semble qu’un seul spermatozoïde soit utilisé pour féconder chaque œuf.</x:v>
      </x:c>
      <x:c r="I247" s="508" t="str">
        <x:v>Comme un varroa pond habituellement 4 œufs par cycle, il semble qu’un seul spermatozoïde soit utilisé pour féconder chaque œuf.</x:v>
      </x:c>
      <x:c r="J247" s="508" t="str">
        <x:v>Comme un varroa pond habituellement 4 œufs par cycle, il semble qu’un seul spermatozoïde soit utilisé pour féconder chaque œuf.</x:v>
      </x:c>
      <x:c r="K247" s="508" t="str">
        <x:v>Comme un varroa pond habituellement 4 œufs par cycle, il semble qu’un seul spermatozoïde soit utilisé pour féconder chaque œuf.</x:v>
      </x:c>
      <x:c r="L247" s="508" t="str">
        <x:v>Comme un varroa pond habituellement 4 œufs par cycle, il semble qu’un seul spermatozoïde soit utilisé pour féconder chaque œuf.</x:v>
      </x:c>
      <x:c r="M247" s="508" t="str">
        <x:v>Comme un varroa pond habituellement 4 œufs par cycle, il semble qu’un seul spermatozoïde soit utilisé pour féconder chaque œuf.</x:v>
      </x:c>
    </x:row>
    <x:row r="248" ht="56.400001525878906" customHeight="1">
      <x:c r="A248" s="498"/>
      <x:c r="B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C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D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E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F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G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H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I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J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K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L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c r="M248" s="508" t="str">
        <x:v>En supposant qu’une femelle varroa ayant une très bonne réussite reproductive accomplisse un cycle tous les 15 jours, elle aurait accompli 5 cycles à l’âge de 75 jours. J’utiliserai donc l’âge arbitraire de 75 jours pour classer une femelle varroa comme « épuisée », et j’ai créé le tableau ci-dessous pour en tenir compte.</x:v>
      </x:c>
    </x:row>
    <x:row r="249" ht="31" customHeight="1">
      <x:c r="A249" s="498"/>
      <x:c r="B249" s="508" t="str">
        <x:v>.</x:v>
      </x:c>
      <x:c r="C249" s="508" t="str">
        <x:v>.</x:v>
      </x:c>
      <x:c r="D249" s="508" t="str">
        <x:v>.</x:v>
      </x:c>
      <x:c r="E249" s="508" t="str">
        <x:v>.</x:v>
      </x:c>
      <x:c r="F249" s="508" t="str">
        <x:v>.</x:v>
      </x:c>
      <x:c r="G249" s="508" t="str">
        <x:v>.</x:v>
      </x:c>
      <x:c r="H249" s="508" t="str">
        <x:v>.</x:v>
      </x:c>
      <x:c r="I249" s="508" t="str">
        <x:v>.</x:v>
      </x:c>
      <x:c r="J249" s="508" t="str">
        <x:v>.</x:v>
      </x:c>
      <x:c r="K249" s="508" t="str">
        <x:v>.</x:v>
      </x:c>
      <x:c r="L249" s="508" t="str">
        <x:v>.</x:v>
      </x:c>
      <x:c r="M249" s="508" t="str">
        <x:v>.</x:v>
      </x:c>
    </x:row>
    <x:row r="250" ht="18" customHeight="1">
      <x:c r="A250" s="498"/>
      <x:c r="B250" s="498"/>
      <x:c r="C250" s="498"/>
      <x:c r="D250" s="498"/>
      <x:c r="E250" s="498"/>
      <x:c r="F250" s="498"/>
      <x:c r="G250" s="498"/>
      <x:c r="H250" s="498"/>
      <x:c r="I250" s="498"/>
      <x:c r="J250" s="498"/>
      <x:c r="K250" s="498"/>
      <x:c r="L250" s="498"/>
      <x:c r="M250" s="498"/>
    </x:row>
    <x:row r="251" ht="18" customHeight="1">
      <x:c r="A251" s="498"/>
      <x:c r="B251" s="529" t="str">
        <x:v>Note de calcul — Randy Oliver · EL3</x:v>
      </x:c>
      <x:c r="C251" s="529" t="str">
        <x:v>Note de calcul — Randy Oliver · EL3</x:v>
      </x:c>
      <x:c r="D251" s="529" t="str">
        <x:v>Note de calcul — Randy Oliver · EL3</x:v>
      </x:c>
      <x:c r="E251" s="529" t="str">
        <x:v>Note de calcul — Randy Oliver · EL3</x:v>
      </x:c>
      <x:c r="F251" s="529" t="str">
        <x:v>Note de calcul — Randy Oliver · EL3</x:v>
      </x:c>
      <x:c r="G251" s="529" t="str">
        <x:v>Note de calcul — Randy Oliver · EL3</x:v>
      </x:c>
      <x:c r="H251" s="529" t="str">
        <x:v>Note de calcul — Randy Oliver · EL3</x:v>
      </x:c>
      <x:c r="I251" s="529" t="str">
        <x:v>Note de calcul — Randy Oliver · EL3</x:v>
      </x:c>
      <x:c r="J251" s="529" t="str">
        <x:v>Note de calcul — Randy Oliver · EL3</x:v>
      </x:c>
      <x:c r="K251" s="529" t="str">
        <x:v>Note de calcul — Randy Oliver · EL3</x:v>
      </x:c>
      <x:c r="L251" s="529" t="str">
        <x:v>Note de calcul — Randy Oliver · EL3</x:v>
      </x:c>
      <x:c r="M251" s="529" t="str">
        <x:v>Note de calcul — Randy Oliver · EL3</x:v>
      </x:c>
    </x:row>
    <x:row r="252" ht="31" customHeight="1">
      <x:c r="A252" s="498"/>
      <x:c r="B252" s="508" t="str">
        <x:v>Randy Oliver :</x:v>
      </x:c>
      <x:c r="C252" s="508" t="str">
        <x:v>Randy Oliver :</x:v>
      </x:c>
      <x:c r="D252" s="508" t="str">
        <x:v>Randy Oliver :</x:v>
      </x:c>
      <x:c r="E252" s="508" t="str">
        <x:v>Randy Oliver :</x:v>
      </x:c>
      <x:c r="F252" s="508" t="str">
        <x:v>Randy Oliver :</x:v>
      </x:c>
      <x:c r="G252" s="508" t="str">
        <x:v>Randy Oliver :</x:v>
      </x:c>
      <x:c r="H252" s="508" t="str">
        <x:v>Randy Oliver :</x:v>
      </x:c>
      <x:c r="I252" s="508" t="str">
        <x:v>Randy Oliver :</x:v>
      </x:c>
      <x:c r="J252" s="508" t="str">
        <x:v>Randy Oliver :</x:v>
      </x:c>
      <x:c r="K252" s="508" t="str">
        <x:v>Randy Oliver :</x:v>
      </x:c>
      <x:c r="L252" s="508" t="str">
        <x:v>Randy Oliver :</x:v>
      </x:c>
      <x:c r="M252" s="508" t="str">
        <x:v>Randy Oliver :</x:v>
      </x:c>
    </x:row>
    <x:row r="253" ht="41.599998474121094" customHeight="1">
      <x:c r="A253" s="498"/>
      <x:c r="B253" s="508" t="str">
        <x:v>Valeurs issues du tableau de vieillissement des varroas ci-dessous, fondées sur l’hypothèse arbitraire que les varroas âgés de plus de 75 jours sont probablement incapables de se reproduire.</x:v>
      </x:c>
      <x:c r="C253" s="508" t="str">
        <x:v>Valeurs issues du tableau de vieillissement des varroas ci-dessous, fondées sur l’hypothèse arbitraire que les varroas âgés de plus de 75 jours sont probablement incapables de se reproduire.</x:v>
      </x:c>
      <x:c r="D253" s="508" t="str">
        <x:v>Valeurs issues du tableau de vieillissement des varroas ci-dessous, fondées sur l’hypothèse arbitraire que les varroas âgés de plus de 75 jours sont probablement incapables de se reproduire.</x:v>
      </x:c>
      <x:c r="E253" s="508" t="str">
        <x:v>Valeurs issues du tableau de vieillissement des varroas ci-dessous, fondées sur l’hypothèse arbitraire que les varroas âgés de plus de 75 jours sont probablement incapables de se reproduire.</x:v>
      </x:c>
      <x:c r="F253" s="508" t="str">
        <x:v>Valeurs issues du tableau de vieillissement des varroas ci-dessous, fondées sur l’hypothèse arbitraire que les varroas âgés de plus de 75 jours sont probablement incapables de se reproduire.</x:v>
      </x:c>
      <x:c r="G253" s="508" t="str">
        <x:v>Valeurs issues du tableau de vieillissement des varroas ci-dessous, fondées sur l’hypothèse arbitraire que les varroas âgés de plus de 75 jours sont probablement incapables de se reproduire.</x:v>
      </x:c>
      <x:c r="H253" s="508" t="str">
        <x:v>Valeurs issues du tableau de vieillissement des varroas ci-dessous, fondées sur l’hypothèse arbitraire que les varroas âgés de plus de 75 jours sont probablement incapables de se reproduire.</x:v>
      </x:c>
      <x:c r="I253" s="508" t="str">
        <x:v>Valeurs issues du tableau de vieillissement des varroas ci-dessous, fondées sur l’hypothèse arbitraire que les varroas âgés de plus de 75 jours sont probablement incapables de se reproduire.</x:v>
      </x:c>
      <x:c r="J253" s="508" t="str">
        <x:v>Valeurs issues du tableau de vieillissement des varroas ci-dessous, fondées sur l’hypothèse arbitraire que les varroas âgés de plus de 75 jours sont probablement incapables de se reproduire.</x:v>
      </x:c>
      <x:c r="K253" s="508" t="str">
        <x:v>Valeurs issues du tableau de vieillissement des varroas ci-dessous, fondées sur l’hypothèse arbitraire que les varroas âgés de plus de 75 jours sont probablement incapables de se reproduire.</x:v>
      </x:c>
      <x:c r="L253" s="508" t="str">
        <x:v>Valeurs issues du tableau de vieillissement des varroas ci-dessous, fondées sur l’hypothèse arbitraire que les varroas âgés de plus de 75 jours sont probablement incapables de se reproduire.</x:v>
      </x:c>
      <x:c r="M253" s="508" t="str">
        <x:v>Valeurs issues du tableau de vieillissement des varroas ci-dessous, fondées sur l’hypothèse arbitraire que les varroas âgés de plus de 75 jours sont probablement incapables de se reproduire.</x:v>
      </x:c>
    </x:row>
    <x:row r="254" ht="71.19999694824219" customHeight="1">
      <x:c r="A254" s="498"/>
      <x:c r="B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C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D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E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F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G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H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I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J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K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L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c r="M254" s="508" t="str">
        <x:v>Valeurs issues du tableau de vieillissement des varroas ci-dessous, fondées sur l’hypothèse arbitraire que les varroas âgés de plus de 75 jours sont probablement incapables de se reproduire. Voir Häußermann (2018) Production de spermatozoïdes chez les mâles de Varroa destructor et effet sur la reproduction dans le couvain d’ouvrières d’Apis mellifera. Exp Appl Acarol 74:43–54.</x:v>
      </x:c>
    </x:row>
    <x:row r="255" ht="56.400001525878906" customHeight="1">
      <x:c r="A255" s="498"/>
      <x:c r="B255" s="508" t="str">
        <x:v>Il faudrait peut-être ramener cette durée de 75 jours à 60 jours, ce qui représenterait plus fidèlement 3 cycles reproductifs. Mais lorsque je le fais, le taux logarithmique quotidien r global devient un peu trop faible.</x:v>
      </x:c>
      <x:c r="C255" s="508" t="str">
        <x:v>Il faudrait peut-être ramener cette durée de 75 jours à 60 jours, ce qui représenterait plus fidèlement 3 cycles reproductifs. Mais lorsque je le fais, le taux logarithmique quotidien r global devient un peu trop faible.</x:v>
      </x:c>
      <x:c r="D255" s="508" t="str">
        <x:v>Il faudrait peut-être ramener cette durée de 75 jours à 60 jours, ce qui représenterait plus fidèlement 3 cycles reproductifs. Mais lorsque je le fais, le taux logarithmique quotidien r global devient un peu trop faible.</x:v>
      </x:c>
      <x:c r="E255" s="508" t="str">
        <x:v>Il faudrait peut-être ramener cette durée de 75 jours à 60 jours, ce qui représenterait plus fidèlement 3 cycles reproductifs. Mais lorsque je le fais, le taux logarithmique quotidien r global devient un peu trop faible.</x:v>
      </x:c>
      <x:c r="F255" s="508" t="str">
        <x:v>Il faudrait peut-être ramener cette durée de 75 jours à 60 jours, ce qui représenterait plus fidèlement 3 cycles reproductifs. Mais lorsque je le fais, le taux logarithmique quotidien r global devient un peu trop faible.</x:v>
      </x:c>
      <x:c r="G255" s="508" t="str">
        <x:v>Il faudrait peut-être ramener cette durée de 75 jours à 60 jours, ce qui représenterait plus fidèlement 3 cycles reproductifs. Mais lorsque je le fais, le taux logarithmique quotidien r global devient un peu trop faible.</x:v>
      </x:c>
      <x:c r="H255" s="508" t="str">
        <x:v>Il faudrait peut-être ramener cette durée de 75 jours à 60 jours, ce qui représenterait plus fidèlement 3 cycles reproductifs. Mais lorsque je le fais, le taux logarithmique quotidien r global devient un peu trop faible.</x:v>
      </x:c>
      <x:c r="I255" s="508" t="str">
        <x:v>Il faudrait peut-être ramener cette durée de 75 jours à 60 jours, ce qui représenterait plus fidèlement 3 cycles reproductifs. Mais lorsque je le fais, le taux logarithmique quotidien r global devient un peu trop faible.</x:v>
      </x:c>
      <x:c r="J255" s="508" t="str">
        <x:v>Il faudrait peut-être ramener cette durée de 75 jours à 60 jours, ce qui représenterait plus fidèlement 3 cycles reproductifs. Mais lorsque je le fais, le taux logarithmique quotidien r global devient un peu trop faible.</x:v>
      </x:c>
      <x:c r="K255" s="508" t="str">
        <x:v>Il faudrait peut-être ramener cette durée de 75 jours à 60 jours, ce qui représenterait plus fidèlement 3 cycles reproductifs. Mais lorsque je le fais, le taux logarithmique quotidien r global devient un peu trop faible.</x:v>
      </x:c>
      <x:c r="L255" s="508" t="str">
        <x:v>Il faudrait peut-être ramener cette durée de 75 jours à 60 jours, ce qui représenterait plus fidèlement 3 cycles reproductifs. Mais lorsque je le fais, le taux logarithmique quotidien r global devient un peu trop faible.</x:v>
      </x:c>
      <x:c r="M255" s="508" t="str">
        <x:v>Il faudrait peut-être ramener cette durée de 75 jours à 60 jours, ce qui représenterait plus fidèlement 3 cycles reproductifs. Mais lorsque je le fais, le taux logarithmique quotidien r global devient un peu trop faible.</x:v>
      </x:c>
    </x:row>
    <x:row r="256" ht="18" customHeight="1">
      <x:c r="A256" s="498"/>
      <x:c r="B256" s="498"/>
      <x:c r="C256" s="498"/>
      <x:c r="D256" s="498"/>
      <x:c r="E256" s="498"/>
      <x:c r="F256" s="498"/>
      <x:c r="G256" s="498"/>
      <x:c r="H256" s="498"/>
      <x:c r="I256" s="498"/>
      <x:c r="J256" s="498"/>
      <x:c r="K256" s="498"/>
      <x:c r="L256" s="498"/>
      <x:c r="M256" s="498"/>
    </x:row>
    <x:row r="257" ht="18" customHeight="1">
      <x:c r="A257" s="498"/>
      <x:c r="B257" s="529" t="str">
        <x:v>Note de calcul — Randy Oliver · BC4</x:v>
      </x:c>
      <x:c r="C257" s="529" t="str">
        <x:v>Note de calcul — Randy Oliver · BC4</x:v>
      </x:c>
      <x:c r="D257" s="529" t="str">
        <x:v>Note de calcul — Randy Oliver · BC4</x:v>
      </x:c>
      <x:c r="E257" s="529" t="str">
        <x:v>Note de calcul — Randy Oliver · BC4</x:v>
      </x:c>
      <x:c r="F257" s="529" t="str">
        <x:v>Note de calcul — Randy Oliver · BC4</x:v>
      </x:c>
      <x:c r="G257" s="529" t="str">
        <x:v>Note de calcul — Randy Oliver · BC4</x:v>
      </x:c>
      <x:c r="H257" s="529" t="str">
        <x:v>Note de calcul — Randy Oliver · BC4</x:v>
      </x:c>
      <x:c r="I257" s="529" t="str">
        <x:v>Note de calcul — Randy Oliver · BC4</x:v>
      </x:c>
      <x:c r="J257" s="529" t="str">
        <x:v>Note de calcul — Randy Oliver · BC4</x:v>
      </x:c>
      <x:c r="K257" s="529" t="str">
        <x:v>Note de calcul — Randy Oliver · BC4</x:v>
      </x:c>
      <x:c r="L257" s="529" t="str">
        <x:v>Note de calcul — Randy Oliver · BC4</x:v>
      </x:c>
      <x:c r="M257" s="529" t="str">
        <x:v>Note de calcul — Randy Oliver · BC4</x:v>
      </x:c>
    </x:row>
    <x:row r="258" ht="31" customHeight="1">
      <x:c r="A258" s="498"/>
      <x:c r="B258" s="508" t="str">
        <x:v>Randy Oliver :</x:v>
      </x:c>
      <x:c r="C258" s="508" t="str">
        <x:v>Randy Oliver :</x:v>
      </x:c>
      <x:c r="D258" s="508" t="str">
        <x:v>Randy Oliver :</x:v>
      </x:c>
      <x:c r="E258" s="508" t="str">
        <x:v>Randy Oliver :</x:v>
      </x:c>
      <x:c r="F258" s="508" t="str">
        <x:v>Randy Oliver :</x:v>
      </x:c>
      <x:c r="G258" s="508" t="str">
        <x:v>Randy Oliver :</x:v>
      </x:c>
      <x:c r="H258" s="508" t="str">
        <x:v>Randy Oliver :</x:v>
      </x:c>
      <x:c r="I258" s="508" t="str">
        <x:v>Randy Oliver :</x:v>
      </x:c>
      <x:c r="J258" s="508" t="str">
        <x:v>Randy Oliver :</x:v>
      </x:c>
      <x:c r="K258" s="508" t="str">
        <x:v>Randy Oliver :</x:v>
      </x:c>
      <x:c r="L258" s="508" t="str">
        <x:v>Randy Oliver :</x:v>
      </x:c>
      <x:c r="M258" s="508" t="str">
        <x:v>Randy Oliver :</x:v>
      </x:c>
    </x:row>
    <x:row r="259" ht="31" customHeight="1">
      <x:c r="A259" s="498"/>
      <x:c r="B259" s="508" t="str">
        <x:v>Voir le commentaire au niveau du calcul</x:v>
      </x:c>
      <x:c r="C259" s="508" t="str">
        <x:v>Voir le commentaire au niveau du calcul</x:v>
      </x:c>
      <x:c r="D259" s="508" t="str">
        <x:v>Voir le commentaire au niveau du calcul</x:v>
      </x:c>
      <x:c r="E259" s="508" t="str">
        <x:v>Voir le commentaire au niveau du calcul</x:v>
      </x:c>
      <x:c r="F259" s="508" t="str">
        <x:v>Voir le commentaire au niveau du calcul</x:v>
      </x:c>
      <x:c r="G259" s="508" t="str">
        <x:v>Voir le commentaire au niveau du calcul</x:v>
      </x:c>
      <x:c r="H259" s="508" t="str">
        <x:v>Voir le commentaire au niveau du calcul</x:v>
      </x:c>
      <x:c r="I259" s="508" t="str">
        <x:v>Voir le commentaire au niveau du calcul</x:v>
      </x:c>
      <x:c r="J259" s="508" t="str">
        <x:v>Voir le commentaire au niveau du calcul</x:v>
      </x:c>
      <x:c r="K259" s="508" t="str">
        <x:v>Voir le commentaire au niveau du calcul</x:v>
      </x:c>
      <x:c r="L259" s="508" t="str">
        <x:v>Voir le commentaire au niveau du calcul</x:v>
      </x:c>
      <x:c r="M259" s="508" t="str">
        <x:v>Voir le commentaire au niveau du calcul</x:v>
      </x:c>
    </x:row>
    <x:row r="260" ht="18" customHeight="1">
      <x:c r="A260" s="498"/>
      <x:c r="B260" s="498"/>
      <x:c r="C260" s="498"/>
      <x:c r="D260" s="498"/>
      <x:c r="E260" s="498"/>
      <x:c r="F260" s="498"/>
      <x:c r="G260" s="498"/>
      <x:c r="H260" s="498"/>
      <x:c r="I260" s="498"/>
      <x:c r="J260" s="498"/>
      <x:c r="K260" s="498"/>
      <x:c r="L260" s="498"/>
      <x:c r="M260" s="498"/>
    </x:row>
    <x:row r="261" ht="18" customHeight="1">
      <x:c r="A261" s="498"/>
      <x:c r="B261" s="529" t="str">
        <x:v>Note de calcul — Randy Oliver · BI22</x:v>
      </x:c>
      <x:c r="C261" s="529" t="str">
        <x:v>Note de calcul — Randy Oliver · BI22</x:v>
      </x:c>
      <x:c r="D261" s="529" t="str">
        <x:v>Note de calcul — Randy Oliver · BI22</x:v>
      </x:c>
      <x:c r="E261" s="529" t="str">
        <x:v>Note de calcul — Randy Oliver · BI22</x:v>
      </x:c>
      <x:c r="F261" s="529" t="str">
        <x:v>Note de calcul — Randy Oliver · BI22</x:v>
      </x:c>
      <x:c r="G261" s="529" t="str">
        <x:v>Note de calcul — Randy Oliver · BI22</x:v>
      </x:c>
      <x:c r="H261" s="529" t="str">
        <x:v>Note de calcul — Randy Oliver · BI22</x:v>
      </x:c>
      <x:c r="I261" s="529" t="str">
        <x:v>Note de calcul — Randy Oliver · BI22</x:v>
      </x:c>
      <x:c r="J261" s="529" t="str">
        <x:v>Note de calcul — Randy Oliver · BI22</x:v>
      </x:c>
      <x:c r="K261" s="529" t="str">
        <x:v>Note de calcul — Randy Oliver · BI22</x:v>
      </x:c>
      <x:c r="L261" s="529" t="str">
        <x:v>Note de calcul — Randy Oliver · BI22</x:v>
      </x:c>
      <x:c r="M261" s="529" t="str">
        <x:v>Note de calcul — Randy Oliver · BI22</x:v>
      </x:c>
    </x:row>
    <x:row r="262" ht="31" customHeight="1">
      <x:c r="A262" s="498"/>
      <x:c r="B262" s="508" t="str">
        <x:v>Randy Oliver :</x:v>
      </x:c>
      <x:c r="C262" s="508" t="str">
        <x:v>Randy Oliver :</x:v>
      </x:c>
      <x:c r="D262" s="508" t="str">
        <x:v>Randy Oliver :</x:v>
      </x:c>
      <x:c r="E262" s="508" t="str">
        <x:v>Randy Oliver :</x:v>
      </x:c>
      <x:c r="F262" s="508" t="str">
        <x:v>Randy Oliver :</x:v>
      </x:c>
      <x:c r="G262" s="508" t="str">
        <x:v>Randy Oliver :</x:v>
      </x:c>
      <x:c r="H262" s="508" t="str">
        <x:v>Randy Oliver :</x:v>
      </x:c>
      <x:c r="I262" s="508" t="str">
        <x:v>Randy Oliver :</x:v>
      </x:c>
      <x:c r="J262" s="508" t="str">
        <x:v>Randy Oliver :</x:v>
      </x:c>
      <x:c r="K262" s="508" t="str">
        <x:v>Randy Oliver :</x:v>
      </x:c>
      <x:c r="L262" s="508" t="str">
        <x:v>Randy Oliver :</x:v>
      </x:c>
      <x:c r="M262" s="508" t="str">
        <x:v>Randy Oliver :</x:v>
      </x:c>
    </x:row>
    <x:row r="263" ht="56.400001525878906" customHeight="1">
      <x:c r="A263" s="498"/>
      <x:c r="B263" s="508" t="str">
        <x:v>Si 80 % des varroas sont dans le couvain et si 70 % des ouvrières partent avec l’essaim, celui-ci n’emporterait qu’environ 15 % des varroas, laissant 85 % sur place. Wilde a constaté que les essaims emportaient environ 25 % des varroas.</x:v>
      </x:c>
      <x:c r="C263" s="508" t="str">
        <x:v>Si 80 % des varroas sont dans le couvain et si 70 % des ouvrières partent avec l’essaim, celui-ci n’emporterait qu’environ 15 % des varroas, laissant 85 % sur place. Wilde a constaté que les essaims emportaient environ 25 % des varroas.</x:v>
      </x:c>
      <x:c r="D263" s="508" t="str">
        <x:v>Si 80 % des varroas sont dans le couvain et si 70 % des ouvrières partent avec l’essaim, celui-ci n’emporterait qu’environ 15 % des varroas, laissant 85 % sur place. Wilde a constaté que les essaims emportaient environ 25 % des varroas.</x:v>
      </x:c>
      <x:c r="E263" s="508" t="str">
        <x:v>Si 80 % des varroas sont dans le couvain et si 70 % des ouvrières partent avec l’essaim, celui-ci n’emporterait qu’environ 15 % des varroas, laissant 85 % sur place. Wilde a constaté que les essaims emportaient environ 25 % des varroas.</x:v>
      </x:c>
      <x:c r="F263" s="508" t="str">
        <x:v>Si 80 % des varroas sont dans le couvain et si 70 % des ouvrières partent avec l’essaim, celui-ci n’emporterait qu’environ 15 % des varroas, laissant 85 % sur place. Wilde a constaté que les essaims emportaient environ 25 % des varroas.</x:v>
      </x:c>
      <x:c r="G263" s="508" t="str">
        <x:v>Si 80 % des varroas sont dans le couvain et si 70 % des ouvrières partent avec l’essaim, celui-ci n’emporterait qu’environ 15 % des varroas, laissant 85 % sur place. Wilde a constaté que les essaims emportaient environ 25 % des varroas.</x:v>
      </x:c>
      <x:c r="H263" s="508" t="str">
        <x:v>Si 80 % des varroas sont dans le couvain et si 70 % des ouvrières partent avec l’essaim, celui-ci n’emporterait qu’environ 15 % des varroas, laissant 85 % sur place. Wilde a constaté que les essaims emportaient environ 25 % des varroas.</x:v>
      </x:c>
      <x:c r="I263" s="508" t="str">
        <x:v>Si 80 % des varroas sont dans le couvain et si 70 % des ouvrières partent avec l’essaim, celui-ci n’emporterait qu’environ 15 % des varroas, laissant 85 % sur place. Wilde a constaté que les essaims emportaient environ 25 % des varroas.</x:v>
      </x:c>
      <x:c r="J263" s="508" t="str">
        <x:v>Si 80 % des varroas sont dans le couvain et si 70 % des ouvrières partent avec l’essaim, celui-ci n’emporterait qu’environ 15 % des varroas, laissant 85 % sur place. Wilde a constaté que les essaims emportaient environ 25 % des varroas.</x:v>
      </x:c>
      <x:c r="K263" s="508" t="str">
        <x:v>Si 80 % des varroas sont dans le couvain et si 70 % des ouvrières partent avec l’essaim, celui-ci n’emporterait qu’environ 15 % des varroas, laissant 85 % sur place. Wilde a constaté que les essaims emportaient environ 25 % des varroas.</x:v>
      </x:c>
      <x:c r="L263" s="508" t="str">
        <x:v>Si 80 % des varroas sont dans le couvain et si 70 % des ouvrières partent avec l’essaim, celui-ci n’emporterait qu’environ 15 % des varroas, laissant 85 % sur place. Wilde a constaté que les essaims emportaient environ 25 % des varroas.</x:v>
      </x:c>
      <x:c r="M263" s="508" t="str">
        <x:v>Si 80 % des varroas sont dans le couvain et si 70 % des ouvrières partent avec l’essaim, celui-ci n’emporterait qu’environ 15 % des varroas, laissant 85 % sur place. Wilde a constaté que les essaims emportaient environ 25 % des varroas.</x:v>
      </x:c>
    </x:row>
    <x:row r="264" ht="41.599998474121094" customHeight="1">
      <x:c r="A264" s="498"/>
      <x:c r="B264" s="508" t="str">
        <x:v>Jerzy Wilde, Stefan Fuchs, Janusz Bratkowski &amp; Maciej Siuda (2005). Répartition de Varroa destructor entre les essaims et les colonies. Journal of Apicultural Research 44:4, 190–194.</x:v>
      </x:c>
      <x:c r="C264" s="508" t="str">
        <x:v>Jerzy Wilde, Stefan Fuchs, Janusz Bratkowski &amp; Maciej Siuda (2005). Répartition de Varroa destructor entre les essaims et les colonies. Journal of Apicultural Research 44:4, 190–194.</x:v>
      </x:c>
      <x:c r="D264" s="508" t="str">
        <x:v>Jerzy Wilde, Stefan Fuchs, Janusz Bratkowski &amp; Maciej Siuda (2005). Répartition de Varroa destructor entre les essaims et les colonies. Journal of Apicultural Research 44:4, 190–194.</x:v>
      </x:c>
      <x:c r="E264" s="508" t="str">
        <x:v>Jerzy Wilde, Stefan Fuchs, Janusz Bratkowski &amp; Maciej Siuda (2005). Répartition de Varroa destructor entre les essaims et les colonies. Journal of Apicultural Research 44:4, 190–194.</x:v>
      </x:c>
      <x:c r="F264" s="508" t="str">
        <x:v>Jerzy Wilde, Stefan Fuchs, Janusz Bratkowski &amp; Maciej Siuda (2005). Répartition de Varroa destructor entre les essaims et les colonies. Journal of Apicultural Research 44:4, 190–194.</x:v>
      </x:c>
      <x:c r="G264" s="508" t="str">
        <x:v>Jerzy Wilde, Stefan Fuchs, Janusz Bratkowski &amp; Maciej Siuda (2005). Répartition de Varroa destructor entre les essaims et les colonies. Journal of Apicultural Research 44:4, 190–194.</x:v>
      </x:c>
      <x:c r="H264" s="508" t="str">
        <x:v>Jerzy Wilde, Stefan Fuchs, Janusz Bratkowski &amp; Maciej Siuda (2005). Répartition de Varroa destructor entre les essaims et les colonies. Journal of Apicultural Research 44:4, 190–194.</x:v>
      </x:c>
      <x:c r="I264" s="508" t="str">
        <x:v>Jerzy Wilde, Stefan Fuchs, Janusz Bratkowski &amp; Maciej Siuda (2005). Répartition de Varroa destructor entre les essaims et les colonies. Journal of Apicultural Research 44:4, 190–194.</x:v>
      </x:c>
      <x:c r="J264" s="508" t="str">
        <x:v>Jerzy Wilde, Stefan Fuchs, Janusz Bratkowski &amp; Maciej Siuda (2005). Répartition de Varroa destructor entre les essaims et les colonies. Journal of Apicultural Research 44:4, 190–194.</x:v>
      </x:c>
      <x:c r="K264" s="508" t="str">
        <x:v>Jerzy Wilde, Stefan Fuchs, Janusz Bratkowski &amp; Maciej Siuda (2005). Répartition de Varroa destructor entre les essaims et les colonies. Journal of Apicultural Research 44:4, 190–194.</x:v>
      </x:c>
      <x:c r="L264" s="508" t="str">
        <x:v>Jerzy Wilde, Stefan Fuchs, Janusz Bratkowski &amp; Maciej Siuda (2005). Répartition de Varroa destructor entre les essaims et les colonies. Journal of Apicultural Research 44:4, 190–194.</x:v>
      </x:c>
      <x:c r="M264" s="508" t="str">
        <x:v>Jerzy Wilde, Stefan Fuchs, Janusz Bratkowski &amp; Maciej Siuda (2005). Répartition de Varroa destructor entre les essaims et les colonies. Journal of Apicultural Research 44:4, 190–194.</x:v>
      </x:c>
    </x:row>
    <x:row r="265" ht="56.400001525878906" customHeight="1">
      <x:c r="A265" s="498"/>
      <x:c r="B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C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D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E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F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G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H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I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J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K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L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c r="M265" s="508" t="str">
        <x:v>Cependant, les travaux de Seeley suggèrent une réduction globale des varroas plus importante lors de l’essaimage, probablement due à la rupture de couvain, ou peut-être aux essaims secondaires. Mes calculs suggèrent une diminution finale de la population de varroas d’au maximum 60 %.</x:v>
      </x:c>
    </x:row>
    <x:row r="266" ht="41.599998474121094" customHeight="1">
      <x:c r="A266" s="498"/>
      <x:c r="B266" s="508" t="str">
        <x:v>Seeley, TD &amp; ML Smith (2015). Le regroupement dense des colonies d’abeilles dans les ruchers peut accroître leur vulnérabilité à l’ectoparasite mortel Varroa destructor. Apidologie 46:716–727.</x:v>
      </x:c>
      <x:c r="C266" s="508" t="str">
        <x:v>Seeley, TD &amp; ML Smith (2015). Le regroupement dense des colonies d’abeilles dans les ruchers peut accroître leur vulnérabilité à l’ectoparasite mortel Varroa destructor. Apidologie 46:716–727.</x:v>
      </x:c>
      <x:c r="D266" s="508" t="str">
        <x:v>Seeley, TD &amp; ML Smith (2015). Le regroupement dense des colonies d’abeilles dans les ruchers peut accroître leur vulnérabilité à l’ectoparasite mortel Varroa destructor. Apidologie 46:716–727.</x:v>
      </x:c>
      <x:c r="E266" s="508" t="str">
        <x:v>Seeley, TD &amp; ML Smith (2015). Le regroupement dense des colonies d’abeilles dans les ruchers peut accroître leur vulnérabilité à l’ectoparasite mortel Varroa destructor. Apidologie 46:716–727.</x:v>
      </x:c>
      <x:c r="F266" s="508" t="str">
        <x:v>Seeley, TD &amp; ML Smith (2015). Le regroupement dense des colonies d’abeilles dans les ruchers peut accroître leur vulnérabilité à l’ectoparasite mortel Varroa destructor. Apidologie 46:716–727.</x:v>
      </x:c>
      <x:c r="G266" s="508" t="str">
        <x:v>Seeley, TD &amp; ML Smith (2015). Le regroupement dense des colonies d’abeilles dans les ruchers peut accroître leur vulnérabilité à l’ectoparasite mortel Varroa destructor. Apidologie 46:716–727.</x:v>
      </x:c>
      <x:c r="H266" s="508" t="str">
        <x:v>Seeley, TD &amp; ML Smith (2015). Le regroupement dense des colonies d’abeilles dans les ruchers peut accroître leur vulnérabilité à l’ectoparasite mortel Varroa destructor. Apidologie 46:716–727.</x:v>
      </x:c>
      <x:c r="I266" s="508" t="str">
        <x:v>Seeley, TD &amp; ML Smith (2015). Le regroupement dense des colonies d’abeilles dans les ruchers peut accroître leur vulnérabilité à l’ectoparasite mortel Varroa destructor. Apidologie 46:716–727.</x:v>
      </x:c>
      <x:c r="J266" s="508" t="str">
        <x:v>Seeley, TD &amp; ML Smith (2015). Le regroupement dense des colonies d’abeilles dans les ruchers peut accroître leur vulnérabilité à l’ectoparasite mortel Varroa destructor. Apidologie 46:716–727.</x:v>
      </x:c>
      <x:c r="K266" s="508" t="str">
        <x:v>Seeley, TD &amp; ML Smith (2015). Le regroupement dense des colonies d’abeilles dans les ruchers peut accroître leur vulnérabilité à l’ectoparasite mortel Varroa destructor. Apidologie 46:716–727.</x:v>
      </x:c>
      <x:c r="L266" s="508" t="str">
        <x:v>Seeley, TD &amp; ML Smith (2015). Le regroupement dense des colonies d’abeilles dans les ruchers peut accroître leur vulnérabilité à l’ectoparasite mortel Varroa destructor. Apidologie 46:716–727.</x:v>
      </x:c>
      <x:c r="M266" s="508" t="str">
        <x:v>Seeley, TD &amp; ML Smith (2015). Le regroupement dense des colonies d’abeilles dans les ruchers peut accroître leur vulnérabilité à l’ectoparasite mortel Varroa destructor. Apidologie 46:716–727.</x:v>
      </x:c>
    </x:row>
    <x:row r="267" ht="18" customHeight="1">
      <x:c r="A267" s="498"/>
      <x:c r="B267" s="498"/>
      <x:c r="C267" s="498"/>
      <x:c r="D267" s="498"/>
      <x:c r="E267" s="498"/>
      <x:c r="F267" s="498"/>
      <x:c r="G267" s="498"/>
      <x:c r="H267" s="498"/>
      <x:c r="I267" s="498"/>
      <x:c r="J267" s="498"/>
      <x:c r="K267" s="498"/>
      <x:c r="L267" s="498"/>
      <x:c r="M267" s="498"/>
    </x:row>
    <x:row r="268" ht="18" customHeight="1">
      <x:c r="A268" s="498"/>
      <x:c r="B268" s="529" t="str">
        <x:v>Note de calcul — Randy Oliver · BU37</x:v>
      </x:c>
      <x:c r="C268" s="529" t="str">
        <x:v>Note de calcul — Randy Oliver · BU37</x:v>
      </x:c>
      <x:c r="D268" s="529" t="str">
        <x:v>Note de calcul — Randy Oliver · BU37</x:v>
      </x:c>
      <x:c r="E268" s="529" t="str">
        <x:v>Note de calcul — Randy Oliver · BU37</x:v>
      </x:c>
      <x:c r="F268" s="529" t="str">
        <x:v>Note de calcul — Randy Oliver · BU37</x:v>
      </x:c>
      <x:c r="G268" s="529" t="str">
        <x:v>Note de calcul — Randy Oliver · BU37</x:v>
      </x:c>
      <x:c r="H268" s="529" t="str">
        <x:v>Note de calcul — Randy Oliver · BU37</x:v>
      </x:c>
      <x:c r="I268" s="529" t="str">
        <x:v>Note de calcul — Randy Oliver · BU37</x:v>
      </x:c>
      <x:c r="J268" s="529" t="str">
        <x:v>Note de calcul — Randy Oliver · BU37</x:v>
      </x:c>
      <x:c r="K268" s="529" t="str">
        <x:v>Note de calcul — Randy Oliver · BU37</x:v>
      </x:c>
      <x:c r="L268" s="529" t="str">
        <x:v>Note de calcul — Randy Oliver · BU37</x:v>
      </x:c>
      <x:c r="M268" s="529" t="str">
        <x:v>Note de calcul — Randy Oliver · BU37</x:v>
      </x:c>
    </x:row>
    <x:row r="269" ht="31" customHeight="1">
      <x:c r="A269" s="498"/>
      <x:c r="B269" s="508" t="str">
        <x:v>Randy Oliver :</x:v>
      </x:c>
      <x:c r="C269" s="508" t="str">
        <x:v>Randy Oliver :</x:v>
      </x:c>
      <x:c r="D269" s="508" t="str">
        <x:v>Randy Oliver :</x:v>
      </x:c>
      <x:c r="E269" s="508" t="str">
        <x:v>Randy Oliver :</x:v>
      </x:c>
      <x:c r="F269" s="508" t="str">
        <x:v>Randy Oliver :</x:v>
      </x:c>
      <x:c r="G269" s="508" t="str">
        <x:v>Randy Oliver :</x:v>
      </x:c>
      <x:c r="H269" s="508" t="str">
        <x:v>Randy Oliver :</x:v>
      </x:c>
      <x:c r="I269" s="508" t="str">
        <x:v>Randy Oliver :</x:v>
      </x:c>
      <x:c r="J269" s="508" t="str">
        <x:v>Randy Oliver :</x:v>
      </x:c>
      <x:c r="K269" s="508" t="str">
        <x:v>Randy Oliver :</x:v>
      </x:c>
      <x:c r="L269" s="508" t="str">
        <x:v>Randy Oliver :</x:v>
      </x:c>
      <x:c r="M269" s="508" t="str">
        <x:v>Randy Oliver :</x:v>
      </x:c>
    </x:row>
    <x:row r="270" ht="31" customHeight="1">
      <x:c r="A270" s="498"/>
      <x:c r="B270" s="508" t="str">
        <x:v>Intervalles de 365/24 jours</x:v>
      </x:c>
      <x:c r="C270" s="508" t="str">
        <x:v>Intervalles de 365/24 jours</x:v>
      </x:c>
      <x:c r="D270" s="508" t="str">
        <x:v>Intervalles de 365/24 jours</x:v>
      </x:c>
      <x:c r="E270" s="508" t="str">
        <x:v>Intervalles de 365/24 jours</x:v>
      </x:c>
      <x:c r="F270" s="508" t="str">
        <x:v>Intervalles de 365/24 jours</x:v>
      </x:c>
      <x:c r="G270" s="508" t="str">
        <x:v>Intervalles de 365/24 jours</x:v>
      </x:c>
      <x:c r="H270" s="508" t="str">
        <x:v>Intervalles de 365/24 jours</x:v>
      </x:c>
      <x:c r="I270" s="508" t="str">
        <x:v>Intervalles de 365/24 jours</x:v>
      </x:c>
      <x:c r="J270" s="508" t="str">
        <x:v>Intervalles de 365/24 jours</x:v>
      </x:c>
      <x:c r="K270" s="508" t="str">
        <x:v>Intervalles de 365/24 jours</x:v>
      </x:c>
      <x:c r="L270" s="508" t="str">
        <x:v>Intervalles de 365/24 jours</x:v>
      </x:c>
      <x:c r="M270" s="508" t="str">
        <x:v>Intervalles de 365/24 jours</x:v>
      </x:c>
    </x:row>
    <x:row r="271" ht="18" customHeight="1">
      <x:c r="A271" s="498"/>
      <x:c r="B271" s="498"/>
      <x:c r="C271" s="498"/>
      <x:c r="D271" s="498"/>
      <x:c r="E271" s="498"/>
      <x:c r="F271" s="498"/>
      <x:c r="G271" s="498"/>
      <x:c r="H271" s="498"/>
      <x:c r="I271" s="498"/>
      <x:c r="J271" s="498"/>
      <x:c r="K271" s="498"/>
      <x:c r="L271" s="498"/>
      <x:c r="M271" s="498"/>
    </x:row>
    <x:row r="272" ht="18" customHeight="1">
      <x:c r="A272" s="498"/>
      <x:c r="B272" s="529" t="str">
        <x:v>Note de calcul — Randy Oliver · BE39</x:v>
      </x:c>
      <x:c r="C272" s="529" t="str">
        <x:v>Note de calcul — Randy Oliver · BE39</x:v>
      </x:c>
      <x:c r="D272" s="529" t="str">
        <x:v>Note de calcul — Randy Oliver · BE39</x:v>
      </x:c>
      <x:c r="E272" s="529" t="str">
        <x:v>Note de calcul — Randy Oliver · BE39</x:v>
      </x:c>
      <x:c r="F272" s="529" t="str">
        <x:v>Note de calcul — Randy Oliver · BE39</x:v>
      </x:c>
      <x:c r="G272" s="529" t="str">
        <x:v>Note de calcul — Randy Oliver · BE39</x:v>
      </x:c>
      <x:c r="H272" s="529" t="str">
        <x:v>Note de calcul — Randy Oliver · BE39</x:v>
      </x:c>
      <x:c r="I272" s="529" t="str">
        <x:v>Note de calcul — Randy Oliver · BE39</x:v>
      </x:c>
      <x:c r="J272" s="529" t="str">
        <x:v>Note de calcul — Randy Oliver · BE39</x:v>
      </x:c>
      <x:c r="K272" s="529" t="str">
        <x:v>Note de calcul — Randy Oliver · BE39</x:v>
      </x:c>
      <x:c r="L272" s="529" t="str">
        <x:v>Note de calcul — Randy Oliver · BE39</x:v>
      </x:c>
      <x:c r="M272" s="529" t="str">
        <x:v>Note de calcul — Randy Oliver · BE39</x:v>
      </x:c>
    </x:row>
    <x:row r="273" ht="31" customHeight="1">
      <x:c r="A273" s="498"/>
      <x:c r="B273" s="508" t="str">
        <x:v>Randy Oliver :</x:v>
      </x:c>
      <x:c r="C273" s="508" t="str">
        <x:v>Randy Oliver :</x:v>
      </x:c>
      <x:c r="D273" s="508" t="str">
        <x:v>Randy Oliver :</x:v>
      </x:c>
      <x:c r="E273" s="508" t="str">
        <x:v>Randy Oliver :</x:v>
      </x:c>
      <x:c r="F273" s="508" t="str">
        <x:v>Randy Oliver :</x:v>
      </x:c>
      <x:c r="G273" s="508" t="str">
        <x:v>Randy Oliver :</x:v>
      </x:c>
      <x:c r="H273" s="508" t="str">
        <x:v>Randy Oliver :</x:v>
      </x:c>
      <x:c r="I273" s="508" t="str">
        <x:v>Randy Oliver :</x:v>
      </x:c>
      <x:c r="J273" s="508" t="str">
        <x:v>Randy Oliver :</x:v>
      </x:c>
      <x:c r="K273" s="508" t="str">
        <x:v>Randy Oliver :</x:v>
      </x:c>
      <x:c r="L273" s="508" t="str">
        <x:v>Randy Oliver :</x:v>
      </x:c>
      <x:c r="M273" s="508" t="str">
        <x:v>Randy Oliver :</x:v>
      </x:c>
    </x:row>
    <x:row r="274" ht="41.599998474121094" customHeight="1">
      <x:c r="A274" s="498"/>
      <x:c r="B274" s="508" t="str">
        <x:v>Les utilisateurs avancés peuvent saisir des valeurs personnalisées pour effectuer des analyses de sensibilité.</x:v>
      </x:c>
      <x:c r="C274" s="508" t="str">
        <x:v>Les utilisateurs avancés peuvent saisir des valeurs personnalisées pour effectuer des analyses de sensibilité.</x:v>
      </x:c>
      <x:c r="D274" s="508" t="str">
        <x:v>Les utilisateurs avancés peuvent saisir des valeurs personnalisées pour effectuer des analyses de sensibilité.</x:v>
      </x:c>
      <x:c r="E274" s="508" t="str">
        <x:v>Les utilisateurs avancés peuvent saisir des valeurs personnalisées pour effectuer des analyses de sensibilité.</x:v>
      </x:c>
      <x:c r="F274" s="508" t="str">
        <x:v>Les utilisateurs avancés peuvent saisir des valeurs personnalisées pour effectuer des analyses de sensibilité.</x:v>
      </x:c>
      <x:c r="G274" s="508" t="str">
        <x:v>Les utilisateurs avancés peuvent saisir des valeurs personnalisées pour effectuer des analyses de sensibilité.</x:v>
      </x:c>
      <x:c r="H274" s="508" t="str">
        <x:v>Les utilisateurs avancés peuvent saisir des valeurs personnalisées pour effectuer des analyses de sensibilité.</x:v>
      </x:c>
      <x:c r="I274" s="508" t="str">
        <x:v>Les utilisateurs avancés peuvent saisir des valeurs personnalisées pour effectuer des analyses de sensibilité.</x:v>
      </x:c>
      <x:c r="J274" s="508" t="str">
        <x:v>Les utilisateurs avancés peuvent saisir des valeurs personnalisées pour effectuer des analyses de sensibilité.</x:v>
      </x:c>
      <x:c r="K274" s="508" t="str">
        <x:v>Les utilisateurs avancés peuvent saisir des valeurs personnalisées pour effectuer des analyses de sensibilité.</x:v>
      </x:c>
      <x:c r="L274" s="508" t="str">
        <x:v>Les utilisateurs avancés peuvent saisir des valeurs personnalisées pour effectuer des analyses de sensibilité.</x:v>
      </x:c>
      <x:c r="M274" s="508" t="str">
        <x:v>Les utilisateurs avancés peuvent saisir des valeurs personnalisées pour effectuer des analyses de sensibilité.</x:v>
      </x:c>
    </x:row>
    <x:row r="275" ht="18" customHeight="1">
      <x:c r="A275" s="498"/>
      <x:c r="B275" s="498"/>
      <x:c r="C275" s="498"/>
      <x:c r="D275" s="498"/>
      <x:c r="E275" s="498"/>
      <x:c r="F275" s="498"/>
      <x:c r="G275" s="498"/>
      <x:c r="H275" s="498"/>
      <x:c r="I275" s="498"/>
      <x:c r="J275" s="498"/>
      <x:c r="K275" s="498"/>
      <x:c r="L275" s="498"/>
      <x:c r="M275" s="498"/>
    </x:row>
    <x:row r="276" ht="18" customHeight="1">
      <x:c r="A276" s="498"/>
      <x:c r="B276" s="529" t="str">
        <x:v>Note de calcul — Randy Oliver · AY41</x:v>
      </x:c>
      <x:c r="C276" s="529" t="str">
        <x:v>Note de calcul — Randy Oliver · AY41</x:v>
      </x:c>
      <x:c r="D276" s="529" t="str">
        <x:v>Note de calcul — Randy Oliver · AY41</x:v>
      </x:c>
      <x:c r="E276" s="529" t="str">
        <x:v>Note de calcul — Randy Oliver · AY41</x:v>
      </x:c>
      <x:c r="F276" s="529" t="str">
        <x:v>Note de calcul — Randy Oliver · AY41</x:v>
      </x:c>
      <x:c r="G276" s="529" t="str">
        <x:v>Note de calcul — Randy Oliver · AY41</x:v>
      </x:c>
      <x:c r="H276" s="529" t="str">
        <x:v>Note de calcul — Randy Oliver · AY41</x:v>
      </x:c>
      <x:c r="I276" s="529" t="str">
        <x:v>Note de calcul — Randy Oliver · AY41</x:v>
      </x:c>
      <x:c r="J276" s="529" t="str">
        <x:v>Note de calcul — Randy Oliver · AY41</x:v>
      </x:c>
      <x:c r="K276" s="529" t="str">
        <x:v>Note de calcul — Randy Oliver · AY41</x:v>
      </x:c>
      <x:c r="L276" s="529" t="str">
        <x:v>Note de calcul — Randy Oliver · AY41</x:v>
      </x:c>
      <x:c r="M276" s="529" t="str">
        <x:v>Note de calcul — Randy Oliver · AY41</x:v>
      </x:c>
    </x:row>
    <x:row r="277" ht="31" customHeight="1">
      <x:c r="A277" s="498"/>
      <x:c r="B277" s="508" t="str">
        <x:v>Randy Oliver :</x:v>
      </x:c>
      <x:c r="C277" s="508" t="str">
        <x:v>Randy Oliver :</x:v>
      </x:c>
      <x:c r="D277" s="508" t="str">
        <x:v>Randy Oliver :</x:v>
      </x:c>
      <x:c r="E277" s="508" t="str">
        <x:v>Randy Oliver :</x:v>
      </x:c>
      <x:c r="F277" s="508" t="str">
        <x:v>Randy Oliver :</x:v>
      </x:c>
      <x:c r="G277" s="508" t="str">
        <x:v>Randy Oliver :</x:v>
      </x:c>
      <x:c r="H277" s="508" t="str">
        <x:v>Randy Oliver :</x:v>
      </x:c>
      <x:c r="I277" s="508" t="str">
        <x:v>Randy Oliver :</x:v>
      </x:c>
      <x:c r="J277" s="508" t="str">
        <x:v>Randy Oliver :</x:v>
      </x:c>
      <x:c r="K277" s="508" t="str">
        <x:v>Randy Oliver :</x:v>
      </x:c>
      <x:c r="L277" s="508" t="str">
        <x:v>Randy Oliver :</x:v>
      </x:c>
      <x:c r="M277" s="508" t="str">
        <x:v>Randy Oliver :</x:v>
      </x:c>
    </x:row>
    <x:row r="278" ht="56.400001525878906" customHeight="1">
      <x:c r="A278" s="498"/>
      <x:c r="B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C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D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E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F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G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H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I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J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K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L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M278"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row>
    <x:row r="279" ht="18" customHeight="1">
      <x:c r="A279" s="498"/>
      <x:c r="B279" s="498"/>
      <x:c r="C279" s="498"/>
      <x:c r="D279" s="498"/>
      <x:c r="E279" s="498"/>
      <x:c r="F279" s="498"/>
      <x:c r="G279" s="498"/>
      <x:c r="H279" s="498"/>
      <x:c r="I279" s="498"/>
      <x:c r="J279" s="498"/>
      <x:c r="K279" s="498"/>
      <x:c r="L279" s="498"/>
      <x:c r="M279" s="498"/>
    </x:row>
    <x:row r="280" ht="18" customHeight="1">
      <x:c r="A280" s="498"/>
      <x:c r="B280" s="529" t="str">
        <x:v>Note de calcul — Randy Oliver · AX42</x:v>
      </x:c>
      <x:c r="C280" s="529" t="str">
        <x:v>Note de calcul — Randy Oliver · AX42</x:v>
      </x:c>
      <x:c r="D280" s="529" t="str">
        <x:v>Note de calcul — Randy Oliver · AX42</x:v>
      </x:c>
      <x:c r="E280" s="529" t="str">
        <x:v>Note de calcul — Randy Oliver · AX42</x:v>
      </x:c>
      <x:c r="F280" s="529" t="str">
        <x:v>Note de calcul — Randy Oliver · AX42</x:v>
      </x:c>
      <x:c r="G280" s="529" t="str">
        <x:v>Note de calcul — Randy Oliver · AX42</x:v>
      </x:c>
      <x:c r="H280" s="529" t="str">
        <x:v>Note de calcul — Randy Oliver · AX42</x:v>
      </x:c>
      <x:c r="I280" s="529" t="str">
        <x:v>Note de calcul — Randy Oliver · AX42</x:v>
      </x:c>
      <x:c r="J280" s="529" t="str">
        <x:v>Note de calcul — Randy Oliver · AX42</x:v>
      </x:c>
      <x:c r="K280" s="529" t="str">
        <x:v>Note de calcul — Randy Oliver · AX42</x:v>
      </x:c>
      <x:c r="L280" s="529" t="str">
        <x:v>Note de calcul — Randy Oliver · AX42</x:v>
      </x:c>
      <x:c r="M280" s="529" t="str">
        <x:v>Note de calcul — Randy Oliver · AX42</x:v>
      </x:c>
    </x:row>
    <x:row r="281" ht="31" customHeight="1">
      <x:c r="A281" s="498"/>
      <x:c r="B281" s="508" t="str">
        <x:v>Randy Oliver :</x:v>
      </x:c>
      <x:c r="C281" s="508" t="str">
        <x:v>Randy Oliver :</x:v>
      </x:c>
      <x:c r="D281" s="508" t="str">
        <x:v>Randy Oliver :</x:v>
      </x:c>
      <x:c r="E281" s="508" t="str">
        <x:v>Randy Oliver :</x:v>
      </x:c>
      <x:c r="F281" s="508" t="str">
        <x:v>Randy Oliver :</x:v>
      </x:c>
      <x:c r="G281" s="508" t="str">
        <x:v>Randy Oliver :</x:v>
      </x:c>
      <x:c r="H281" s="508" t="str">
        <x:v>Randy Oliver :</x:v>
      </x:c>
      <x:c r="I281" s="508" t="str">
        <x:v>Randy Oliver :</x:v>
      </x:c>
      <x:c r="J281" s="508" t="str">
        <x:v>Randy Oliver :</x:v>
      </x:c>
      <x:c r="K281" s="508" t="str">
        <x:v>Randy Oliver :</x:v>
      </x:c>
      <x:c r="L281" s="508" t="str">
        <x:v>Randy Oliver :</x:v>
      </x:c>
      <x:c r="M281" s="508" t="str">
        <x:v>Randy Oliver :</x:v>
      </x:c>
    </x:row>
    <x:row r="282" ht="86" customHeight="1">
      <x:c r="A282" s="498"/>
      <x:c r="B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C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D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E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F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G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H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I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J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K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L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c r="M282" s="508" t="str">
        <x:v>J’ai volontairement simplifié ces deux premières variables (nombre de filles et pourcentage de femelles fécondées), car elles reflètent les résultats finaux des fondatrices qui ne pondent aucun œuf, ne produisent que des mâles, ou dont le mâle meurt ou ne parvient pas à inséminer ses sœurs. Voir Martin, S, et al. (1997). Absence de reproduction chez le parasite de l’abeille Varroa jacobsoni. Experimental &amp; Applied Acarology 21: 539–549.</x:v>
      </x:c>
    </x:row>
    <x:row r="283" ht="41.599998474121094" customHeight="1">
      <x:c r="A283" s="498"/>
      <x:c r="B283" s="508" t="str">
        <x:v>Ces variables pourraient certainement être détaillées davantage pour examiner plus précisément les mécanismes de résistance, mais le résultat net se retrouve dans le taux reproductif effectif net, à droite.</x:v>
      </x:c>
      <x:c r="C283" s="508" t="str">
        <x:v>Ces variables pourraient certainement être détaillées davantage pour examiner plus précisément les mécanismes de résistance, mais le résultat net se retrouve dans le taux reproductif effectif net, à droite.</x:v>
      </x:c>
      <x:c r="D283" s="508" t="str">
        <x:v>Ces variables pourraient certainement être détaillées davantage pour examiner plus précisément les mécanismes de résistance, mais le résultat net se retrouve dans le taux reproductif effectif net, à droite.</x:v>
      </x:c>
      <x:c r="E283" s="508" t="str">
        <x:v>Ces variables pourraient certainement être détaillées davantage pour examiner plus précisément les mécanismes de résistance, mais le résultat net se retrouve dans le taux reproductif effectif net, à droite.</x:v>
      </x:c>
      <x:c r="F283" s="508" t="str">
        <x:v>Ces variables pourraient certainement être détaillées davantage pour examiner plus précisément les mécanismes de résistance, mais le résultat net se retrouve dans le taux reproductif effectif net, à droite.</x:v>
      </x:c>
      <x:c r="G283" s="508" t="str">
        <x:v>Ces variables pourraient certainement être détaillées davantage pour examiner plus précisément les mécanismes de résistance, mais le résultat net se retrouve dans le taux reproductif effectif net, à droite.</x:v>
      </x:c>
      <x:c r="H283" s="508" t="str">
        <x:v>Ces variables pourraient certainement être détaillées davantage pour examiner plus précisément les mécanismes de résistance, mais le résultat net se retrouve dans le taux reproductif effectif net, à droite.</x:v>
      </x:c>
      <x:c r="I283" s="508" t="str">
        <x:v>Ces variables pourraient certainement être détaillées davantage pour examiner plus précisément les mécanismes de résistance, mais le résultat net se retrouve dans le taux reproductif effectif net, à droite.</x:v>
      </x:c>
      <x:c r="J283" s="508" t="str">
        <x:v>Ces variables pourraient certainement être détaillées davantage pour examiner plus précisément les mécanismes de résistance, mais le résultat net se retrouve dans le taux reproductif effectif net, à droite.</x:v>
      </x:c>
      <x:c r="K283" s="508" t="str">
        <x:v>Ces variables pourraient certainement être détaillées davantage pour examiner plus précisément les mécanismes de résistance, mais le résultat net se retrouve dans le taux reproductif effectif net, à droite.</x:v>
      </x:c>
      <x:c r="L283" s="508" t="str">
        <x:v>Ces variables pourraient certainement être détaillées davantage pour examiner plus précisément les mécanismes de résistance, mais le résultat net se retrouve dans le taux reproductif effectif net, à droite.</x:v>
      </x:c>
      <x:c r="M283" s="508" t="str">
        <x:v>Ces variables pourraient certainement être détaillées davantage pour examiner plus précisément les mécanismes de résistance, mais le résultat net se retrouve dans le taux reproductif effectif net, à droite.</x:v>
      </x:c>
    </x:row>
    <x:row r="284" ht="18" customHeight="1">
      <x:c r="A284" s="498"/>
      <x:c r="B284" s="498"/>
      <x:c r="C284" s="498"/>
      <x:c r="D284" s="498"/>
      <x:c r="E284" s="498"/>
      <x:c r="F284" s="498"/>
      <x:c r="G284" s="498"/>
      <x:c r="H284" s="498"/>
      <x:c r="I284" s="498"/>
      <x:c r="J284" s="498"/>
      <x:c r="K284" s="498"/>
      <x:c r="L284" s="498"/>
      <x:c r="M284" s="498"/>
    </x:row>
    <x:row r="285" ht="18" customHeight="1">
      <x:c r="A285" s="498"/>
      <x:c r="B285" s="529" t="str">
        <x:v>Note de calcul — Randy Oliver · BE45</x:v>
      </x:c>
      <x:c r="C285" s="529" t="str">
        <x:v>Note de calcul — Randy Oliver · BE45</x:v>
      </x:c>
      <x:c r="D285" s="529" t="str">
        <x:v>Note de calcul — Randy Oliver · BE45</x:v>
      </x:c>
      <x:c r="E285" s="529" t="str">
        <x:v>Note de calcul — Randy Oliver · BE45</x:v>
      </x:c>
      <x:c r="F285" s="529" t="str">
        <x:v>Note de calcul — Randy Oliver · BE45</x:v>
      </x:c>
      <x:c r="G285" s="529" t="str">
        <x:v>Note de calcul — Randy Oliver · BE45</x:v>
      </x:c>
      <x:c r="H285" s="529" t="str">
        <x:v>Note de calcul — Randy Oliver · BE45</x:v>
      </x:c>
      <x:c r="I285" s="529" t="str">
        <x:v>Note de calcul — Randy Oliver · BE45</x:v>
      </x:c>
      <x:c r="J285" s="529" t="str">
        <x:v>Note de calcul — Randy Oliver · BE45</x:v>
      </x:c>
      <x:c r="K285" s="529" t="str">
        <x:v>Note de calcul — Randy Oliver · BE45</x:v>
      </x:c>
      <x:c r="L285" s="529" t="str">
        <x:v>Note de calcul — Randy Oliver · BE45</x:v>
      </x:c>
      <x:c r="M285" s="529" t="str">
        <x:v>Note de calcul — Randy Oliver · BE45</x:v>
      </x:c>
    </x:row>
    <x:row r="286" ht="31" customHeight="1">
      <x:c r="A286" s="498"/>
      <x:c r="B286" s="508" t="str">
        <x:v>Randy Oliver :</x:v>
      </x:c>
      <x:c r="C286" s="508" t="str">
        <x:v>Randy Oliver :</x:v>
      </x:c>
      <x:c r="D286" s="508" t="str">
        <x:v>Randy Oliver :</x:v>
      </x:c>
      <x:c r="E286" s="508" t="str">
        <x:v>Randy Oliver :</x:v>
      </x:c>
      <x:c r="F286" s="508" t="str">
        <x:v>Randy Oliver :</x:v>
      </x:c>
      <x:c r="G286" s="508" t="str">
        <x:v>Randy Oliver :</x:v>
      </x:c>
      <x:c r="H286" s="508" t="str">
        <x:v>Randy Oliver :</x:v>
      </x:c>
      <x:c r="I286" s="508" t="str">
        <x:v>Randy Oliver :</x:v>
      </x:c>
      <x:c r="J286" s="508" t="str">
        <x:v>Randy Oliver :</x:v>
      </x:c>
      <x:c r="K286" s="508" t="str">
        <x:v>Randy Oliver :</x:v>
      </x:c>
      <x:c r="L286" s="508" t="str">
        <x:v>Randy Oliver :</x:v>
      </x:c>
      <x:c r="M286" s="508" t="str">
        <x:v>Randy Oliver :</x:v>
      </x:c>
    </x:row>
    <x:row r="287" ht="41.599998474121094" customHeight="1">
      <x:c r="A287" s="498"/>
      <x:c r="B287" s="508" t="str">
        <x:v>La valeur de 0,005 provient de la synthèse de Martin ; plus récemment, Desiai a estimé la mortalité quotidienne hivernale à 0,0025–0,004.</x:v>
      </x:c>
      <x:c r="C287" s="508" t="str">
        <x:v>La valeur de 0,005 provient de la synthèse de Martin ; plus récemment, Desiai a estimé la mortalité quotidienne hivernale à 0,0025–0,004.</x:v>
      </x:c>
      <x:c r="D287" s="508" t="str">
        <x:v>La valeur de 0,005 provient de la synthèse de Martin ; plus récemment, Desiai a estimé la mortalité quotidienne hivernale à 0,0025–0,004.</x:v>
      </x:c>
      <x:c r="E287" s="508" t="str">
        <x:v>La valeur de 0,005 provient de la synthèse de Martin ; plus récemment, Desiai a estimé la mortalité quotidienne hivernale à 0,0025–0,004.</x:v>
      </x:c>
      <x:c r="F287" s="508" t="str">
        <x:v>La valeur de 0,005 provient de la synthèse de Martin ; plus récemment, Desiai a estimé la mortalité quotidienne hivernale à 0,0025–0,004.</x:v>
      </x:c>
      <x:c r="G287" s="508" t="str">
        <x:v>La valeur de 0,005 provient de la synthèse de Martin ; plus récemment, Desiai a estimé la mortalité quotidienne hivernale à 0,0025–0,004.</x:v>
      </x:c>
      <x:c r="H287" s="508" t="str">
        <x:v>La valeur de 0,005 provient de la synthèse de Martin ; plus récemment, Desiai a estimé la mortalité quotidienne hivernale à 0,0025–0,004.</x:v>
      </x:c>
      <x:c r="I287" s="508" t="str">
        <x:v>La valeur de 0,005 provient de la synthèse de Martin ; plus récemment, Desiai a estimé la mortalité quotidienne hivernale à 0,0025–0,004.</x:v>
      </x:c>
      <x:c r="J287" s="508" t="str">
        <x:v>La valeur de 0,005 provient de la synthèse de Martin ; plus récemment, Desiai a estimé la mortalité quotidienne hivernale à 0,0025–0,004.</x:v>
      </x:c>
      <x:c r="K287" s="508" t="str">
        <x:v>La valeur de 0,005 provient de la synthèse de Martin ; plus récemment, Desiai a estimé la mortalité quotidienne hivernale à 0,0025–0,004.</x:v>
      </x:c>
      <x:c r="L287" s="508" t="str">
        <x:v>La valeur de 0,005 provient de la synthèse de Martin ; plus récemment, Desiai a estimé la mortalité quotidienne hivernale à 0,0025–0,004.</x:v>
      </x:c>
      <x:c r="M287" s="508" t="str">
        <x:v>La valeur de 0,005 provient de la synthèse de Martin ; plus récemment, Desiai a estimé la mortalité quotidienne hivernale à 0,0025–0,004.</x:v>
      </x:c>
    </x:row>
    <x:row r="288" ht="41.599998474121094" customHeight="1">
      <x:c r="A288" s="498"/>
      <x:c r="B288" s="508" t="str">
        <x:v>Desai (2014), L’impact potentiel des agents pathogènes sur les colonies d’abeilles domestiques, Apis mellifera L., et les possibilités de lutte contre ces agents, fig. 4.5.</x:v>
      </x:c>
      <x:c r="C288" s="508" t="str">
        <x:v>Desai (2014), L’impact potentiel des agents pathogènes sur les colonies d’abeilles domestiques, Apis mellifera L., et les possibilités de lutte contre ces agents, fig. 4.5.</x:v>
      </x:c>
      <x:c r="D288" s="508" t="str">
        <x:v>Desai (2014), L’impact potentiel des agents pathogènes sur les colonies d’abeilles domestiques, Apis mellifera L., et les possibilités de lutte contre ces agents, fig. 4.5.</x:v>
      </x:c>
      <x:c r="E288" s="508" t="str">
        <x:v>Desai (2014), L’impact potentiel des agents pathogènes sur les colonies d’abeilles domestiques, Apis mellifera L., et les possibilités de lutte contre ces agents, fig. 4.5.</x:v>
      </x:c>
      <x:c r="F288" s="508" t="str">
        <x:v>Desai (2014), L’impact potentiel des agents pathogènes sur les colonies d’abeilles domestiques, Apis mellifera L., et les possibilités de lutte contre ces agents, fig. 4.5.</x:v>
      </x:c>
      <x:c r="G288" s="508" t="str">
        <x:v>Desai (2014), L’impact potentiel des agents pathogènes sur les colonies d’abeilles domestiques, Apis mellifera L., et les possibilités de lutte contre ces agents, fig. 4.5.</x:v>
      </x:c>
      <x:c r="H288" s="508" t="str">
        <x:v>Desai (2014), L’impact potentiel des agents pathogènes sur les colonies d’abeilles domestiques, Apis mellifera L., et les possibilités de lutte contre ces agents, fig. 4.5.</x:v>
      </x:c>
      <x:c r="I288" s="508" t="str">
        <x:v>Desai (2014), L’impact potentiel des agents pathogènes sur les colonies d’abeilles domestiques, Apis mellifera L., et les possibilités de lutte contre ces agents, fig. 4.5.</x:v>
      </x:c>
      <x:c r="J288" s="508" t="str">
        <x:v>Desai (2014), L’impact potentiel des agents pathogènes sur les colonies d’abeilles domestiques, Apis mellifera L., et les possibilités de lutte contre ces agents, fig. 4.5.</x:v>
      </x:c>
      <x:c r="K288" s="508" t="str">
        <x:v>Desai (2014), L’impact potentiel des agents pathogènes sur les colonies d’abeilles domestiques, Apis mellifera L., et les possibilités de lutte contre ces agents, fig. 4.5.</x:v>
      </x:c>
      <x:c r="L288" s="508" t="str">
        <x:v>Desai (2014), L’impact potentiel des agents pathogènes sur les colonies d’abeilles domestiques, Apis mellifera L., et les possibilités de lutte contre ces agents, fig. 4.5.</x:v>
      </x:c>
      <x:c r="M288" s="508" t="str">
        <x:v>Desai (2014), L’impact potentiel des agents pathogènes sur les colonies d’abeilles domestiques, Apis mellifera L., et les possibilités de lutte contre ces agents, fig. 4.5.</x:v>
      </x:c>
    </x:row>
    <x:row r="289" ht="18" customHeight="1">
      <x:c r="A289" s="498"/>
      <x:c r="B289" s="498"/>
      <x:c r="C289" s="498"/>
      <x:c r="D289" s="498"/>
      <x:c r="E289" s="498"/>
      <x:c r="F289" s="498"/>
      <x:c r="G289" s="498"/>
      <x:c r="H289" s="498"/>
      <x:c r="I289" s="498"/>
      <x:c r="J289" s="498"/>
      <x:c r="K289" s="498"/>
      <x:c r="L289" s="498"/>
      <x:c r="M289" s="498"/>
    </x:row>
    <x:row r="290" ht="18" customHeight="1">
      <x:c r="A290" s="498"/>
      <x:c r="B290" s="529" t="str">
        <x:v>Note de calcul — Randy Oliver · BB46</x:v>
      </x:c>
      <x:c r="C290" s="529" t="str">
        <x:v>Note de calcul — Randy Oliver · BB46</x:v>
      </x:c>
      <x:c r="D290" s="529" t="str">
        <x:v>Note de calcul — Randy Oliver · BB46</x:v>
      </x:c>
      <x:c r="E290" s="529" t="str">
        <x:v>Note de calcul — Randy Oliver · BB46</x:v>
      </x:c>
      <x:c r="F290" s="529" t="str">
        <x:v>Note de calcul — Randy Oliver · BB46</x:v>
      </x:c>
      <x:c r="G290" s="529" t="str">
        <x:v>Note de calcul — Randy Oliver · BB46</x:v>
      </x:c>
      <x:c r="H290" s="529" t="str">
        <x:v>Note de calcul — Randy Oliver · BB46</x:v>
      </x:c>
      <x:c r="I290" s="529" t="str">
        <x:v>Note de calcul — Randy Oliver · BB46</x:v>
      </x:c>
      <x:c r="J290" s="529" t="str">
        <x:v>Note de calcul — Randy Oliver · BB46</x:v>
      </x:c>
      <x:c r="K290" s="529" t="str">
        <x:v>Note de calcul — Randy Oliver · BB46</x:v>
      </x:c>
      <x:c r="L290" s="529" t="str">
        <x:v>Note de calcul — Randy Oliver · BB46</x:v>
      </x:c>
      <x:c r="M290" s="529" t="str">
        <x:v>Note de calcul — Randy Oliver · BB46</x:v>
      </x:c>
    </x:row>
    <x:row r="291" ht="31" customHeight="1">
      <x:c r="A291" s="498"/>
      <x:c r="B291" s="508" t="str">
        <x:v>Randy Oliver :</x:v>
      </x:c>
      <x:c r="C291" s="508" t="str">
        <x:v>Randy Oliver :</x:v>
      </x:c>
      <x:c r="D291" s="508" t="str">
        <x:v>Randy Oliver :</x:v>
      </x:c>
      <x:c r="E291" s="508" t="str">
        <x:v>Randy Oliver :</x:v>
      </x:c>
      <x:c r="F291" s="508" t="str">
        <x:v>Randy Oliver :</x:v>
      </x:c>
      <x:c r="G291" s="508" t="str">
        <x:v>Randy Oliver :</x:v>
      </x:c>
      <x:c r="H291" s="508" t="str">
        <x:v>Randy Oliver :</x:v>
      </x:c>
      <x:c r="I291" s="508" t="str">
        <x:v>Randy Oliver :</x:v>
      </x:c>
      <x:c r="J291" s="508" t="str">
        <x:v>Randy Oliver :</x:v>
      </x:c>
      <x:c r="K291" s="508" t="str">
        <x:v>Randy Oliver :</x:v>
      </x:c>
      <x:c r="L291" s="508" t="str">
        <x:v>Randy Oliver :</x:v>
      </x:c>
      <x:c r="M291" s="508" t="str">
        <x:v>Randy Oliver :</x:v>
      </x:c>
    </x:row>
    <x:row r="292" ht="56.400001525878906" customHeight="1">
      <x:c r="A292" s="498"/>
      <x:c r="B292" s="508" t="str">
        <x:v>(0–7 %, d’après Andino 2011.) Pour réussir, les varroas doivent continuellement passer sur des ouvrières plus jeunes lorsque leurs « montures » vieillissent et partent mourir à l’extérieur, ou lorsque les corps gras de l’abeille hôte sont épuisés.</x:v>
      </x:c>
      <x:c r="C292" s="508" t="str">
        <x:v>(0–7 %, d’après Andino 2011.) Pour réussir, les varroas doivent continuellement passer sur des ouvrières plus jeunes lorsque leurs « montures » vieillissent et partent mourir à l’extérieur, ou lorsque les corps gras de l’abeille hôte sont épuisés.</x:v>
      </x:c>
      <x:c r="D292" s="508" t="str">
        <x:v>(0–7 %, d’après Andino 2011.) Pour réussir, les varroas doivent continuellement passer sur des ouvrières plus jeunes lorsque leurs « montures » vieillissent et partent mourir à l’extérieur, ou lorsque les corps gras de l’abeille hôte sont épuisés.</x:v>
      </x:c>
      <x:c r="E292" s="508" t="str">
        <x:v>(0–7 %, d’après Andino 2011.) Pour réussir, les varroas doivent continuellement passer sur des ouvrières plus jeunes lorsque leurs « montures » vieillissent et partent mourir à l’extérieur, ou lorsque les corps gras de l’abeille hôte sont épuisés.</x:v>
      </x:c>
      <x:c r="F292" s="508" t="str">
        <x:v>(0–7 %, d’après Andino 2011.) Pour réussir, les varroas doivent continuellement passer sur des ouvrières plus jeunes lorsque leurs « montures » vieillissent et partent mourir à l’extérieur, ou lorsque les corps gras de l’abeille hôte sont épuisés.</x:v>
      </x:c>
      <x:c r="G292" s="508" t="str">
        <x:v>(0–7 %, d’après Andino 2011.) Pour réussir, les varroas doivent continuellement passer sur des ouvrières plus jeunes lorsque leurs « montures » vieillissent et partent mourir à l’extérieur, ou lorsque les corps gras de l’abeille hôte sont épuisés.</x:v>
      </x:c>
      <x:c r="H292" s="508" t="str">
        <x:v>(0–7 %, d’après Andino 2011.) Pour réussir, les varroas doivent continuellement passer sur des ouvrières plus jeunes lorsque leurs « montures » vieillissent et partent mourir à l’extérieur, ou lorsque les corps gras de l’abeille hôte sont épuisés.</x:v>
      </x:c>
      <x:c r="I292" s="508" t="str">
        <x:v>(0–7 %, d’après Andino 2011.) Pour réussir, les varroas doivent continuellement passer sur des ouvrières plus jeunes lorsque leurs « montures » vieillissent et partent mourir à l’extérieur, ou lorsque les corps gras de l’abeille hôte sont épuisés.</x:v>
      </x:c>
      <x:c r="J292" s="508" t="str">
        <x:v>(0–7 %, d’après Andino 2011.) Pour réussir, les varroas doivent continuellement passer sur des ouvrières plus jeunes lorsque leurs « montures » vieillissent et partent mourir à l’extérieur, ou lorsque les corps gras de l’abeille hôte sont épuisés.</x:v>
      </x:c>
      <x:c r="K292" s="508" t="str">
        <x:v>(0–7 %, d’après Andino 2011.) Pour réussir, les varroas doivent continuellement passer sur des ouvrières plus jeunes lorsque leurs « montures » vieillissent et partent mourir à l’extérieur, ou lorsque les corps gras de l’abeille hôte sont épuisés.</x:v>
      </x:c>
      <x:c r="L292" s="508" t="str">
        <x:v>(0–7 %, d’après Andino 2011.) Pour réussir, les varroas doivent continuellement passer sur des ouvrières plus jeunes lorsque leurs « montures » vieillissent et partent mourir à l’extérieur, ou lorsque les corps gras de l’abeille hôte sont épuisés.</x:v>
      </x:c>
      <x:c r="M292" s="508" t="str">
        <x:v>(0–7 %, d’après Andino 2011.) Pour réussir, les varroas doivent continuellement passer sur des ouvrières plus jeunes lorsque leurs « montures » vieillissent et partent mourir à l’extérieur, ou lorsque les corps gras de l’abeille hôte sont épuisés.</x:v>
      </x:c>
    </x:row>
    <x:row r="293" ht="86" customHeight="1">
      <x:c r="A293" s="498"/>
      <x:c r="B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C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D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E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F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G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H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I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J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K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L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c r="M293" s="508" t="str">
        <x:v>Réserve : dès que cette valeur atteint ne serait-ce que 1 % de mortalité quotidienne, il devient difficile pour le varroa de se reproduire assez vite pour compenser cette mortalité. Je me demande donc s’il existe un taux de toilettage sensiblement accru dans une colonie où l’on observe une augmentation des varroas, quelle qu’elle soit. Remarquez que, même avec l’auto-toilettage et le toilettage mutuel extrêmement vigoureux d’Apis cerana, le taux de mortalité quotidienne des varroas en phase de dispersion reste faible.</x:v>
      </x:c>
    </x:row>
    <x:row r="294" ht="41.599998474121094" customHeight="1">
      <x:c r="A294" s="498"/>
      <x:c r="B294" s="508" t="str">
        <x:v>Voir les travaux récents de Desai (commentaire ci-dessous), ainsi que ceux du laboratoire Perdue et sur les « abeilles mordeuses de varroas ».</x:v>
      </x:c>
      <x:c r="C294" s="508" t="str">
        <x:v>Voir les travaux récents de Desai (commentaire ci-dessous), ainsi que ceux du laboratoire Perdue et sur les « abeilles mordeuses de varroas ».</x:v>
      </x:c>
      <x:c r="D294" s="508" t="str">
        <x:v>Voir les travaux récents de Desai (commentaire ci-dessous), ainsi que ceux du laboratoire Perdue et sur les « abeilles mordeuses de varroas ».</x:v>
      </x:c>
      <x:c r="E294" s="508" t="str">
        <x:v>Voir les travaux récents de Desai (commentaire ci-dessous), ainsi que ceux du laboratoire Perdue et sur les « abeilles mordeuses de varroas ».</x:v>
      </x:c>
      <x:c r="F294" s="508" t="str">
        <x:v>Voir les travaux récents de Desai (commentaire ci-dessous), ainsi que ceux du laboratoire Perdue et sur les « abeilles mordeuses de varroas ».</x:v>
      </x:c>
      <x:c r="G294" s="508" t="str">
        <x:v>Voir les travaux récents de Desai (commentaire ci-dessous), ainsi que ceux du laboratoire Perdue et sur les « abeilles mordeuses de varroas ».</x:v>
      </x:c>
      <x:c r="H294" s="508" t="str">
        <x:v>Voir les travaux récents de Desai (commentaire ci-dessous), ainsi que ceux du laboratoire Perdue et sur les « abeilles mordeuses de varroas ».</x:v>
      </x:c>
      <x:c r="I294" s="508" t="str">
        <x:v>Voir les travaux récents de Desai (commentaire ci-dessous), ainsi que ceux du laboratoire Perdue et sur les « abeilles mordeuses de varroas ».</x:v>
      </x:c>
      <x:c r="J294" s="508" t="str">
        <x:v>Voir les travaux récents de Desai (commentaire ci-dessous), ainsi que ceux du laboratoire Perdue et sur les « abeilles mordeuses de varroas ».</x:v>
      </x:c>
      <x:c r="K294" s="508" t="str">
        <x:v>Voir les travaux récents de Desai (commentaire ci-dessous), ainsi que ceux du laboratoire Perdue et sur les « abeilles mordeuses de varroas ».</x:v>
      </x:c>
      <x:c r="L294" s="508" t="str">
        <x:v>Voir les travaux récents de Desai (commentaire ci-dessous), ainsi que ceux du laboratoire Perdue et sur les « abeilles mordeuses de varroas ».</x:v>
      </x:c>
      <x:c r="M294" s="508" t="str">
        <x:v>Voir les travaux récents de Desai (commentaire ci-dessous), ainsi que ceux du laboratoire Perdue et sur les « abeilles mordeuses de varroas ».</x:v>
      </x:c>
    </x:row>
    <x:row r="295" ht="100.80000305175781" customHeight="1">
      <x:c r="A295" s="498"/>
      <x:c r="B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C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D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E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F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G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H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I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J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K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L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c r="M295" s="508" t="str">
        <x:v>Cette valeur pourrait également servir à prendre en compte la mortalité supplémentaire des ouvrières et des fondatrices immédiatement après leur émergence, avant leur installation dans la phase de dispersion. Par exemple, en supposant un cycle reproductif de 17 jours, il faudrait diviser cette mortalité ponctuelle par cycle par 17, puis l’ajouter à la mortalité quotidienne. Ainsi, si l’on suppose une mortalité de 10 % immédiatement après l’émergence, 10 %/17 = 0,0059, soit une mortalité quotidienne globale de 1,1 %, en supposant que tous les varroas participent à la reproduction.</x:v>
      </x:c>
    </x:row>
    <x:row r="296" ht="41.599998474121094" customHeight="1">
      <x:c r="A296" s="498"/>
      <x:c r="B296" s="508" t="str">
        <x:v>Il nous faut clairement davantage de recherches pour quantifier l’effet de l’augmentation apparente du toilettage et de la « morsure des varroas » sur la mortalité quotidienne des varroas phorétiques.</x:v>
      </x:c>
      <x:c r="C296" s="508" t="str">
        <x:v>Il nous faut clairement davantage de recherches pour quantifier l’effet de l’augmentation apparente du toilettage et de la « morsure des varroas » sur la mortalité quotidienne des varroas phorétiques.</x:v>
      </x:c>
      <x:c r="D296" s="508" t="str">
        <x:v>Il nous faut clairement davantage de recherches pour quantifier l’effet de l’augmentation apparente du toilettage et de la « morsure des varroas » sur la mortalité quotidienne des varroas phorétiques.</x:v>
      </x:c>
      <x:c r="E296" s="508" t="str">
        <x:v>Il nous faut clairement davantage de recherches pour quantifier l’effet de l’augmentation apparente du toilettage et de la « morsure des varroas » sur la mortalité quotidienne des varroas phorétiques.</x:v>
      </x:c>
      <x:c r="F296" s="508" t="str">
        <x:v>Il nous faut clairement davantage de recherches pour quantifier l’effet de l’augmentation apparente du toilettage et de la « morsure des varroas » sur la mortalité quotidienne des varroas phorétiques.</x:v>
      </x:c>
      <x:c r="G296" s="508" t="str">
        <x:v>Il nous faut clairement davantage de recherches pour quantifier l’effet de l’augmentation apparente du toilettage et de la « morsure des varroas » sur la mortalité quotidienne des varroas phorétiques.</x:v>
      </x:c>
      <x:c r="H296" s="508" t="str">
        <x:v>Il nous faut clairement davantage de recherches pour quantifier l’effet de l’augmentation apparente du toilettage et de la « morsure des varroas » sur la mortalité quotidienne des varroas phorétiques.</x:v>
      </x:c>
      <x:c r="I296" s="508" t="str">
        <x:v>Il nous faut clairement davantage de recherches pour quantifier l’effet de l’augmentation apparente du toilettage et de la « morsure des varroas » sur la mortalité quotidienne des varroas phorétiques.</x:v>
      </x:c>
      <x:c r="J296" s="508" t="str">
        <x:v>Il nous faut clairement davantage de recherches pour quantifier l’effet de l’augmentation apparente du toilettage et de la « morsure des varroas » sur la mortalité quotidienne des varroas phorétiques.</x:v>
      </x:c>
      <x:c r="K296" s="508" t="str">
        <x:v>Il nous faut clairement davantage de recherches pour quantifier l’effet de l’augmentation apparente du toilettage et de la « morsure des varroas » sur la mortalité quotidienne des varroas phorétiques.</x:v>
      </x:c>
      <x:c r="L296" s="508" t="str">
        <x:v>Il nous faut clairement davantage de recherches pour quantifier l’effet de l’augmentation apparente du toilettage et de la « morsure des varroas » sur la mortalité quotidienne des varroas phorétiques.</x:v>
      </x:c>
      <x:c r="M296" s="508" t="str">
        <x:v>Il nous faut clairement davantage de recherches pour quantifier l’effet de l’augmentation apparente du toilettage et de la « morsure des varroas » sur la mortalité quotidienne des varroas phorétiques.</x:v>
      </x:c>
    </x:row>
    <x:row r="297" ht="18" customHeight="1">
      <x:c r="A297" s="498"/>
      <x:c r="B297" s="498"/>
      <x:c r="C297" s="498"/>
      <x:c r="D297" s="498"/>
      <x:c r="E297" s="498"/>
      <x:c r="F297" s="498"/>
      <x:c r="G297" s="498"/>
      <x:c r="H297" s="498"/>
      <x:c r="I297" s="498"/>
      <x:c r="J297" s="498"/>
      <x:c r="K297" s="498"/>
      <x:c r="L297" s="498"/>
      <x:c r="M297" s="498"/>
    </x:row>
    <x:row r="298" ht="18" customHeight="1">
      <x:c r="A298" s="498"/>
      <x:c r="B298" s="529" t="str">
        <x:v>Note de calcul — Randy Oliver · BZ46</x:v>
      </x:c>
      <x:c r="C298" s="529" t="str">
        <x:v>Note de calcul — Randy Oliver · BZ46</x:v>
      </x:c>
      <x:c r="D298" s="529" t="str">
        <x:v>Note de calcul — Randy Oliver · BZ46</x:v>
      </x:c>
      <x:c r="E298" s="529" t="str">
        <x:v>Note de calcul — Randy Oliver · BZ46</x:v>
      </x:c>
      <x:c r="F298" s="529" t="str">
        <x:v>Note de calcul — Randy Oliver · BZ46</x:v>
      </x:c>
      <x:c r="G298" s="529" t="str">
        <x:v>Note de calcul — Randy Oliver · BZ46</x:v>
      </x:c>
      <x:c r="H298" s="529" t="str">
        <x:v>Note de calcul — Randy Oliver · BZ46</x:v>
      </x:c>
      <x:c r="I298" s="529" t="str">
        <x:v>Note de calcul — Randy Oliver · BZ46</x:v>
      </x:c>
      <x:c r="J298" s="529" t="str">
        <x:v>Note de calcul — Randy Oliver · BZ46</x:v>
      </x:c>
      <x:c r="K298" s="529" t="str">
        <x:v>Note de calcul — Randy Oliver · BZ46</x:v>
      </x:c>
      <x:c r="L298" s="529" t="str">
        <x:v>Note de calcul — Randy Oliver · BZ46</x:v>
      </x:c>
      <x:c r="M298" s="529" t="str">
        <x:v>Note de calcul — Randy Oliver · BZ46</x:v>
      </x:c>
    </x:row>
    <x:row r="299" ht="31" customHeight="1">
      <x:c r="A299" s="498"/>
      <x:c r="B299" s="508" t="str">
        <x:v>Randy Oliver :</x:v>
      </x:c>
      <x:c r="C299" s="508" t="str">
        <x:v>Randy Oliver :</x:v>
      </x:c>
      <x:c r="D299" s="508" t="str">
        <x:v>Randy Oliver :</x:v>
      </x:c>
      <x:c r="E299" s="508" t="str">
        <x:v>Randy Oliver :</x:v>
      </x:c>
      <x:c r="F299" s="508" t="str">
        <x:v>Randy Oliver :</x:v>
      </x:c>
      <x:c r="G299" s="508" t="str">
        <x:v>Randy Oliver :</x:v>
      </x:c>
      <x:c r="H299" s="508" t="str">
        <x:v>Randy Oliver :</x:v>
      </x:c>
      <x:c r="I299" s="508" t="str">
        <x:v>Randy Oliver :</x:v>
      </x:c>
      <x:c r="J299" s="508" t="str">
        <x:v>Randy Oliver :</x:v>
      </x:c>
      <x:c r="K299" s="508" t="str">
        <x:v>Randy Oliver :</x:v>
      </x:c>
      <x:c r="L299" s="508" t="str">
        <x:v>Randy Oliver :</x:v>
      </x:c>
      <x:c r="M299" s="508" t="str">
        <x:v>Randy Oliver :</x:v>
      </x:c>
    </x:row>
    <x:row r="300" ht="71.19999694824219" customHeight="1">
      <x:c r="A300" s="498"/>
      <x:c r="B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C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D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E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F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G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H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I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J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K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L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c r="M300" s="508" t="str">
        <x:v>En examinant les jeux de données de Katie Lee, Eva Frey et Bob Danka, j’ai remarqué que le pourcentage de cellules de couvain envahies augmentait linéairement avec le pourcentage d’infestation des adultes, mais avec une pente de 2. Je n’ai pas vu ce résultat publié ailleurs, mais je l’ai inclus dans le modèle, car il influence le taux d’invasions multiples des cellules.</x:v>
      </x:c>
    </x:row>
    <x:row r="301" ht="18" customHeight="1">
      <x:c r="A301" s="498"/>
      <x:c r="B301" s="498"/>
      <x:c r="C301" s="498"/>
      <x:c r="D301" s="498"/>
      <x:c r="E301" s="498"/>
      <x:c r="F301" s="498"/>
      <x:c r="G301" s="498"/>
      <x:c r="H301" s="498"/>
      <x:c r="I301" s="498"/>
      <x:c r="J301" s="498"/>
      <x:c r="K301" s="498"/>
      <x:c r="L301" s="498"/>
      <x:c r="M301" s="498"/>
    </x:row>
    <x:row r="302" ht="18" customHeight="1">
      <x:c r="A302" s="498"/>
      <x:c r="B302" s="529" t="str">
        <x:v>Note de calcul — Randy Oliver · BF47</x:v>
      </x:c>
      <x:c r="C302" s="529" t="str">
        <x:v>Note de calcul — Randy Oliver · BF47</x:v>
      </x:c>
      <x:c r="D302" s="529" t="str">
        <x:v>Note de calcul — Randy Oliver · BF47</x:v>
      </x:c>
      <x:c r="E302" s="529" t="str">
        <x:v>Note de calcul — Randy Oliver · BF47</x:v>
      </x:c>
      <x:c r="F302" s="529" t="str">
        <x:v>Note de calcul — Randy Oliver · BF47</x:v>
      </x:c>
      <x:c r="G302" s="529" t="str">
        <x:v>Note de calcul — Randy Oliver · BF47</x:v>
      </x:c>
      <x:c r="H302" s="529" t="str">
        <x:v>Note de calcul — Randy Oliver · BF47</x:v>
      </x:c>
      <x:c r="I302" s="529" t="str">
        <x:v>Note de calcul — Randy Oliver · BF47</x:v>
      </x:c>
      <x:c r="J302" s="529" t="str">
        <x:v>Note de calcul — Randy Oliver · BF47</x:v>
      </x:c>
      <x:c r="K302" s="529" t="str">
        <x:v>Note de calcul — Randy Oliver · BF47</x:v>
      </x:c>
      <x:c r="L302" s="529" t="str">
        <x:v>Note de calcul — Randy Oliver · BF47</x:v>
      </x:c>
      <x:c r="M302" s="529" t="str">
        <x:v>Note de calcul — Randy Oliver · BF47</x:v>
      </x:c>
    </x:row>
    <x:row r="303" ht="31" customHeight="1">
      <x:c r="A303" s="498"/>
      <x:c r="B303" s="508" t="str">
        <x:v>Randy Oliver :</x:v>
      </x:c>
      <x:c r="C303" s="508" t="str">
        <x:v>Randy Oliver :</x:v>
      </x:c>
      <x:c r="D303" s="508" t="str">
        <x:v>Randy Oliver :</x:v>
      </x:c>
      <x:c r="E303" s="508" t="str">
        <x:v>Randy Oliver :</x:v>
      </x:c>
      <x:c r="F303" s="508" t="str">
        <x:v>Randy Oliver :</x:v>
      </x:c>
      <x:c r="G303" s="508" t="str">
        <x:v>Randy Oliver :</x:v>
      </x:c>
      <x:c r="H303" s="508" t="str">
        <x:v>Randy Oliver :</x:v>
      </x:c>
      <x:c r="I303" s="508" t="str">
        <x:v>Randy Oliver :</x:v>
      </x:c>
      <x:c r="J303" s="508" t="str">
        <x:v>Randy Oliver :</x:v>
      </x:c>
      <x:c r="K303" s="508" t="str">
        <x:v>Randy Oliver :</x:v>
      </x:c>
      <x:c r="L303" s="508" t="str">
        <x:v>Randy Oliver :</x:v>
      </x:c>
      <x:c r="M303" s="508" t="str">
        <x:v>Randy Oliver :</x:v>
      </x:c>
    </x:row>
    <x:row r="304" ht="41.599998474121094" customHeight="1">
      <x:c r="A304" s="498"/>
      <x:c r="B304" s="508" t="str">
        <x:v>Estimation approximative étayée par Kraus 1993, Cervo 2014, DeGrandi-Hoffman 2016. Mes propres essais (2) suggèrent 0,5–1.</x:v>
      </x:c>
      <x:c r="C304" s="508" t="str">
        <x:v>Estimation approximative étayée par Kraus 1993, Cervo 2014, DeGrandi-Hoffman 2016. Mes propres essais (2) suggèrent 0,5–1.</x:v>
      </x:c>
      <x:c r="D304" s="508" t="str">
        <x:v>Estimation approximative étayée par Kraus 1993, Cervo 2014, DeGrandi-Hoffman 2016. Mes propres essais (2) suggèrent 0,5–1.</x:v>
      </x:c>
      <x:c r="E304" s="508" t="str">
        <x:v>Estimation approximative étayée par Kraus 1993, Cervo 2014, DeGrandi-Hoffman 2016. Mes propres essais (2) suggèrent 0,5–1.</x:v>
      </x:c>
      <x:c r="F304" s="508" t="str">
        <x:v>Estimation approximative étayée par Kraus 1993, Cervo 2014, DeGrandi-Hoffman 2016. Mes propres essais (2) suggèrent 0,5–1.</x:v>
      </x:c>
      <x:c r="G304" s="508" t="str">
        <x:v>Estimation approximative étayée par Kraus 1993, Cervo 2014, DeGrandi-Hoffman 2016. Mes propres essais (2) suggèrent 0,5–1.</x:v>
      </x:c>
      <x:c r="H304" s="508" t="str">
        <x:v>Estimation approximative étayée par Kraus 1993, Cervo 2014, DeGrandi-Hoffman 2016. Mes propres essais (2) suggèrent 0,5–1.</x:v>
      </x:c>
      <x:c r="I304" s="508" t="str">
        <x:v>Estimation approximative étayée par Kraus 1993, Cervo 2014, DeGrandi-Hoffman 2016. Mes propres essais (2) suggèrent 0,5–1.</x:v>
      </x:c>
      <x:c r="J304" s="508" t="str">
        <x:v>Estimation approximative étayée par Kraus 1993, Cervo 2014, DeGrandi-Hoffman 2016. Mes propres essais (2) suggèrent 0,5–1.</x:v>
      </x:c>
      <x:c r="K304" s="508" t="str">
        <x:v>Estimation approximative étayée par Kraus 1993, Cervo 2014, DeGrandi-Hoffman 2016. Mes propres essais (2) suggèrent 0,5–1.</x:v>
      </x:c>
      <x:c r="L304" s="508" t="str">
        <x:v>Estimation approximative étayée par Kraus 1993, Cervo 2014, DeGrandi-Hoffman 2016. Mes propres essais (2) suggèrent 0,5–1.</x:v>
      </x:c>
      <x:c r="M304" s="508" t="str">
        <x:v>Estimation approximative étayée par Kraus 1993, Cervo 2014, DeGrandi-Hoffman 2016. Mes propres essais (2) suggèrent 0,5–1.</x:v>
      </x:c>
    </x:row>
    <x:row r="305" ht="31" customHeight="1">
      <x:c r="A305" s="498"/>
      <x:c r="B305" s="508" t="str">
        <x:v>Mon analyse de la figure 1 de Xie suggère que cette valeur serait en moyenne de 75 %.</x:v>
      </x:c>
      <x:c r="C305" s="508" t="str">
        <x:v>Mon analyse de la figure 1 de Xie suggère que cette valeur serait en moyenne de 75 %.</x:v>
      </x:c>
      <x:c r="D305" s="508" t="str">
        <x:v>Mon analyse de la figure 1 de Xie suggère que cette valeur serait en moyenne de 75 %.</x:v>
      </x:c>
      <x:c r="E305" s="508" t="str">
        <x:v>Mon analyse de la figure 1 de Xie suggère que cette valeur serait en moyenne de 75 %.</x:v>
      </x:c>
      <x:c r="F305" s="508" t="str">
        <x:v>Mon analyse de la figure 1 de Xie suggère que cette valeur serait en moyenne de 75 %.</x:v>
      </x:c>
      <x:c r="G305" s="508" t="str">
        <x:v>Mon analyse de la figure 1 de Xie suggère que cette valeur serait en moyenne de 75 %.</x:v>
      </x:c>
      <x:c r="H305" s="508" t="str">
        <x:v>Mon analyse de la figure 1 de Xie suggère que cette valeur serait en moyenne de 75 %.</x:v>
      </x:c>
      <x:c r="I305" s="508" t="str">
        <x:v>Mon analyse de la figure 1 de Xie suggère que cette valeur serait en moyenne de 75 %.</x:v>
      </x:c>
      <x:c r="J305" s="508" t="str">
        <x:v>Mon analyse de la figure 1 de Xie suggère que cette valeur serait en moyenne de 75 %.</x:v>
      </x:c>
      <x:c r="K305" s="508" t="str">
        <x:v>Mon analyse de la figure 1 de Xie suggère que cette valeur serait en moyenne de 75 %.</x:v>
      </x:c>
      <x:c r="L305" s="508" t="str">
        <x:v>Mon analyse de la figure 1 de Xie suggère que cette valeur serait en moyenne de 75 %.</x:v>
      </x:c>
      <x:c r="M305" s="508" t="str">
        <x:v>Mon analyse de la figure 1 de Xie suggère que cette valeur serait en moyenne de 75 %.</x:v>
      </x:c>
    </x:row>
    <x:row r="306" ht="41.599998474121094" customHeight="1">
      <x:c r="A306" s="498"/>
      <x:c r="B306" s="508" t="str">
        <x:v>Xie, X. et al. Pourquoi les varroas préfèrent-ils les abeilles nourrices ? Sci. Rep. 6, 28228 ; doi: 10.1038/srep28228 (2016).</x:v>
      </x:c>
      <x:c r="C306" s="508" t="str">
        <x:v>Xie, X. et al. Pourquoi les varroas préfèrent-ils les abeilles nourrices ? Sci. Rep. 6, 28228 ; doi: 10.1038/srep28228 (2016).</x:v>
      </x:c>
      <x:c r="D306" s="508" t="str">
        <x:v>Xie, X. et al. Pourquoi les varroas préfèrent-ils les abeilles nourrices ? Sci. Rep. 6, 28228 ; doi: 10.1038/srep28228 (2016).</x:v>
      </x:c>
      <x:c r="E306" s="508" t="str">
        <x:v>Xie, X. et al. Pourquoi les varroas préfèrent-ils les abeilles nourrices ? Sci. Rep. 6, 28228 ; doi: 10.1038/srep28228 (2016).</x:v>
      </x:c>
      <x:c r="F306" s="508" t="str">
        <x:v>Xie, X. et al. Pourquoi les varroas préfèrent-ils les abeilles nourrices ? Sci. Rep. 6, 28228 ; doi: 10.1038/srep28228 (2016).</x:v>
      </x:c>
      <x:c r="G306" s="508" t="str">
        <x:v>Xie, X. et al. Pourquoi les varroas préfèrent-ils les abeilles nourrices ? Sci. Rep. 6, 28228 ; doi: 10.1038/srep28228 (2016).</x:v>
      </x:c>
      <x:c r="H306" s="508" t="str">
        <x:v>Xie, X. et al. Pourquoi les varroas préfèrent-ils les abeilles nourrices ? Sci. Rep. 6, 28228 ; doi: 10.1038/srep28228 (2016).</x:v>
      </x:c>
      <x:c r="I306" s="508" t="str">
        <x:v>Xie, X. et al. Pourquoi les varroas préfèrent-ils les abeilles nourrices ? Sci. Rep. 6, 28228 ; doi: 10.1038/srep28228 (2016).</x:v>
      </x:c>
      <x:c r="J306" s="508" t="str">
        <x:v>Xie, X. et al. Pourquoi les varroas préfèrent-ils les abeilles nourrices ? Sci. Rep. 6, 28228 ; doi: 10.1038/srep28228 (2016).</x:v>
      </x:c>
      <x:c r="K306" s="508" t="str">
        <x:v>Xie, X. et al. Pourquoi les varroas préfèrent-ils les abeilles nourrices ? Sci. Rep. 6, 28228 ; doi: 10.1038/srep28228 (2016).</x:v>
      </x:c>
      <x:c r="L306" s="508" t="str">
        <x:v>Xie, X. et al. Pourquoi les varroas préfèrent-ils les abeilles nourrices ? Sci. Rep. 6, 28228 ; doi: 10.1038/srep28228 (2016).</x:v>
      </x:c>
      <x:c r="M306" s="508" t="str">
        <x:v>Xie, X. et al. Pourquoi les varroas préfèrent-ils les abeilles nourrices ? Sci. Rep. 6, 28228 ; doi: 10.1038/srep28228 (2016).</x:v>
      </x:c>
    </x:row>
    <x:row r="307" ht="18" customHeight="1">
      <x:c r="A307" s="498"/>
      <x:c r="B307" s="498"/>
      <x:c r="C307" s="498"/>
      <x:c r="D307" s="498"/>
      <x:c r="E307" s="498"/>
      <x:c r="F307" s="498"/>
      <x:c r="G307" s="498"/>
      <x:c r="H307" s="498"/>
      <x:c r="I307" s="498"/>
      <x:c r="J307" s="498"/>
      <x:c r="K307" s="498"/>
      <x:c r="L307" s="498"/>
      <x:c r="M307" s="498"/>
    </x:row>
    <x:row r="308" ht="18" customHeight="1">
      <x:c r="A308" s="498"/>
      <x:c r="B308" s="529" t="str">
        <x:v>Note de calcul — Randy Oliver · BF48</x:v>
      </x:c>
      <x:c r="C308" s="529" t="str">
        <x:v>Note de calcul — Randy Oliver · BF48</x:v>
      </x:c>
      <x:c r="D308" s="529" t="str">
        <x:v>Note de calcul — Randy Oliver · BF48</x:v>
      </x:c>
      <x:c r="E308" s="529" t="str">
        <x:v>Note de calcul — Randy Oliver · BF48</x:v>
      </x:c>
      <x:c r="F308" s="529" t="str">
        <x:v>Note de calcul — Randy Oliver · BF48</x:v>
      </x:c>
      <x:c r="G308" s="529" t="str">
        <x:v>Note de calcul — Randy Oliver · BF48</x:v>
      </x:c>
      <x:c r="H308" s="529" t="str">
        <x:v>Note de calcul — Randy Oliver · BF48</x:v>
      </x:c>
      <x:c r="I308" s="529" t="str">
        <x:v>Note de calcul — Randy Oliver · BF48</x:v>
      </x:c>
      <x:c r="J308" s="529" t="str">
        <x:v>Note de calcul — Randy Oliver · BF48</x:v>
      </x:c>
      <x:c r="K308" s="529" t="str">
        <x:v>Note de calcul — Randy Oliver · BF48</x:v>
      </x:c>
      <x:c r="L308" s="529" t="str">
        <x:v>Note de calcul — Randy Oliver · BF48</x:v>
      </x:c>
      <x:c r="M308" s="529" t="str">
        <x:v>Note de calcul — Randy Oliver · BF48</x:v>
      </x:c>
    </x:row>
    <x:row r="309" ht="31" customHeight="1">
      <x:c r="A309" s="498"/>
      <x:c r="B309" s="508" t="str">
        <x:v>Randy Oliver :</x:v>
      </x:c>
      <x:c r="C309" s="508" t="str">
        <x:v>Randy Oliver :</x:v>
      </x:c>
      <x:c r="D309" s="508" t="str">
        <x:v>Randy Oliver :</x:v>
      </x:c>
      <x:c r="E309" s="508" t="str">
        <x:v>Randy Oliver :</x:v>
      </x:c>
      <x:c r="F309" s="508" t="str">
        <x:v>Randy Oliver :</x:v>
      </x:c>
      <x:c r="G309" s="508" t="str">
        <x:v>Randy Oliver :</x:v>
      </x:c>
      <x:c r="H309" s="508" t="str">
        <x:v>Randy Oliver :</x:v>
      </x:c>
      <x:c r="I309" s="508" t="str">
        <x:v>Randy Oliver :</x:v>
      </x:c>
      <x:c r="J309" s="508" t="str">
        <x:v>Randy Oliver :</x:v>
      </x:c>
      <x:c r="K309" s="508" t="str">
        <x:v>Randy Oliver :</x:v>
      </x:c>
      <x:c r="L309" s="508" t="str">
        <x:v>Randy Oliver :</x:v>
      </x:c>
      <x:c r="M309" s="508" t="str">
        <x:v>Randy Oliver :</x:v>
      </x:c>
    </x:row>
    <x:row r="310" ht="71.19999694824219" customHeight="1">
      <x:c r="A310" s="498"/>
      <x:c r="B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C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D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E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F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G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H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I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J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K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L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c r="M310" s="508" t="str">
        <x:v>En réexaminant les données de Boot, j’ai constaté que ses conclusions avaient été largement mal interprétées. Le facteur 5 s’applique probablement à des taux d’infestation « normaux ». Même cette valeur pourrait être surestimée, d’après mes dissections de cadres-pièges à couvain mâle en avril : le varroa évolue pour s’adapter à l’abeille occidentale et pourrait perdre sa préférence pour le couvain mâle.</x:v>
      </x:c>
    </x:row>
    <x:row r="311" ht="18" customHeight="1">
      <x:c r="A311" s="498"/>
      <x:c r="B311" s="498"/>
      <x:c r="C311" s="498"/>
      <x:c r="D311" s="498"/>
      <x:c r="E311" s="498"/>
      <x:c r="F311" s="498"/>
      <x:c r="G311" s="498"/>
      <x:c r="H311" s="498"/>
      <x:c r="I311" s="498"/>
      <x:c r="J311" s="498"/>
      <x:c r="K311" s="498"/>
      <x:c r="L311" s="498"/>
      <x:c r="M311" s="498"/>
    </x:row>
    <x:row r="312" ht="18" customHeight="1">
      <x:c r="A312" s="498"/>
      <x:c r="B312" s="529" t="str">
        <x:v>Note de calcul — Randy Oliver · BC49</x:v>
      </x:c>
      <x:c r="C312" s="529" t="str">
        <x:v>Note de calcul — Randy Oliver · BC49</x:v>
      </x:c>
      <x:c r="D312" s="529" t="str">
        <x:v>Note de calcul — Randy Oliver · BC49</x:v>
      </x:c>
      <x:c r="E312" s="529" t="str">
        <x:v>Note de calcul — Randy Oliver · BC49</x:v>
      </x:c>
      <x:c r="F312" s="529" t="str">
        <x:v>Note de calcul — Randy Oliver · BC49</x:v>
      </x:c>
      <x:c r="G312" s="529" t="str">
        <x:v>Note de calcul — Randy Oliver · BC49</x:v>
      </x:c>
      <x:c r="H312" s="529" t="str">
        <x:v>Note de calcul — Randy Oliver · BC49</x:v>
      </x:c>
      <x:c r="I312" s="529" t="str">
        <x:v>Note de calcul — Randy Oliver · BC49</x:v>
      </x:c>
      <x:c r="J312" s="529" t="str">
        <x:v>Note de calcul — Randy Oliver · BC49</x:v>
      </x:c>
      <x:c r="K312" s="529" t="str">
        <x:v>Note de calcul — Randy Oliver · BC49</x:v>
      </x:c>
      <x:c r="L312" s="529" t="str">
        <x:v>Note de calcul — Randy Oliver · BC49</x:v>
      </x:c>
      <x:c r="M312" s="529" t="str">
        <x:v>Note de calcul — Randy Oliver · BC49</x:v>
      </x:c>
    </x:row>
    <x:row r="313" ht="31" customHeight="1">
      <x:c r="A313" s="498"/>
      <x:c r="B313" s="508" t="str">
        <x:v>Randy Oliver :</x:v>
      </x:c>
      <x:c r="C313" s="508" t="str">
        <x:v>Randy Oliver :</x:v>
      </x:c>
      <x:c r="D313" s="508" t="str">
        <x:v>Randy Oliver :</x:v>
      </x:c>
      <x:c r="E313" s="508" t="str">
        <x:v>Randy Oliver :</x:v>
      </x:c>
      <x:c r="F313" s="508" t="str">
        <x:v>Randy Oliver :</x:v>
      </x:c>
      <x:c r="G313" s="508" t="str">
        <x:v>Randy Oliver :</x:v>
      </x:c>
      <x:c r="H313" s="508" t="str">
        <x:v>Randy Oliver :</x:v>
      </x:c>
      <x:c r="I313" s="508" t="str">
        <x:v>Randy Oliver :</x:v>
      </x:c>
      <x:c r="J313" s="508" t="str">
        <x:v>Randy Oliver :</x:v>
      </x:c>
      <x:c r="K313" s="508" t="str">
        <x:v>Randy Oliver :</x:v>
      </x:c>
      <x:c r="L313" s="508" t="str">
        <x:v>Randy Oliver :</x:v>
      </x:c>
      <x:c r="M313" s="508" t="str">
        <x:v>Randy Oliver :</x:v>
      </x:c>
    </x:row>
    <x:row r="314" ht="71.19999694824219" customHeight="1">
      <x:c r="A314" s="498"/>
      <x:c r="B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C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D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E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F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G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H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I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J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K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L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c r="M314" s="508" t="str">
        <x:v>Dans certaines colonies résistantes au varroa, la période phorétique des varroas à la recherche d’une cellule semble être prolongée. Cela pourrait être lié à l’attractivité des larves de 5e stade pour ces varroas. Ce caractère semble fortement héritable : voir le tableau 2 de Harbo, JR et JW Harris (1999), Sélection d’abeilles résistantes à Varroa jacobsoni, Apidologie 30 : 183–196.</x:v>
      </x:c>
    </x:row>
    <x:row r="315" ht="56.400001525878906" customHeight="1">
      <x:c r="A315" s="498"/>
      <x:c r="B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C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D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E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F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G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H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I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J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K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L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c r="M315" s="508" t="str">
        <x:v>Leurs données suggèrent que, dans certaines colonies, une période phorétique plus longue réduit la proportion de varroas présents dans le couvain. Le tableau 2 suggère que cette valeur pourrait être augmentée jusqu’à 25 jours, ce qui serait probablement une valeur extrême.</x:v>
      </x:c>
    </x:row>
    <x:row r="316" ht="56.400001525878906" customHeight="1">
      <x:c r="A316" s="498"/>
      <x:c r="B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C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D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E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F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G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H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I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J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K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L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c r="M316" s="508" t="str">
        <x:v>Voir Vandame 2003, Niveaux de compatibilité dans une nouvelle association hôte–parasite : Apis mellifera/Varroa jacobsoni. Les abeilles européennes (EHB) présentaient un rapport plus élevé entre durée phorétique et durée dans le couvain, ainsi qu’une faible valeur de r.</x:v>
      </x:c>
    </x:row>
    <x:row r="317" ht="31" customHeight="1">
      <x:c r="A317" s="498"/>
      <x:c r="B317" s="508" t="str">
        <x:v>Le modèle est extrêmement sensible aux ajustements de cette valeur !</x:v>
      </x:c>
      <x:c r="C317" s="508" t="str">
        <x:v>Le modèle est extrêmement sensible aux ajustements de cette valeur !</x:v>
      </x:c>
      <x:c r="D317" s="508" t="str">
        <x:v>Le modèle est extrêmement sensible aux ajustements de cette valeur !</x:v>
      </x:c>
      <x:c r="E317" s="508" t="str">
        <x:v>Le modèle est extrêmement sensible aux ajustements de cette valeur !</x:v>
      </x:c>
      <x:c r="F317" s="508" t="str">
        <x:v>Le modèle est extrêmement sensible aux ajustements de cette valeur !</x:v>
      </x:c>
      <x:c r="G317" s="508" t="str">
        <x:v>Le modèle est extrêmement sensible aux ajustements de cette valeur !</x:v>
      </x:c>
      <x:c r="H317" s="508" t="str">
        <x:v>Le modèle est extrêmement sensible aux ajustements de cette valeur !</x:v>
      </x:c>
      <x:c r="I317" s="508" t="str">
        <x:v>Le modèle est extrêmement sensible aux ajustements de cette valeur !</x:v>
      </x:c>
      <x:c r="J317" s="508" t="str">
        <x:v>Le modèle est extrêmement sensible aux ajustements de cette valeur !</x:v>
      </x:c>
      <x:c r="K317" s="508" t="str">
        <x:v>Le modèle est extrêmement sensible aux ajustements de cette valeur !</x:v>
      </x:c>
      <x:c r="L317" s="508" t="str">
        <x:v>Le modèle est extrêmement sensible aux ajustements de cette valeur !</x:v>
      </x:c>
      <x:c r="M317" s="508" t="str">
        <x:v>Le modèle est extrêmement sensible aux ajustements de cette valeur !</x:v>
      </x:c>
    </x:row>
    <x:row r="318" ht="18" customHeight="1">
      <x:c r="A318" s="498"/>
      <x:c r="B318" s="498"/>
      <x:c r="C318" s="498"/>
      <x:c r="D318" s="498"/>
      <x:c r="E318" s="498"/>
      <x:c r="F318" s="498"/>
      <x:c r="G318" s="498"/>
      <x:c r="H318" s="498"/>
      <x:c r="I318" s="498"/>
      <x:c r="J318" s="498"/>
      <x:c r="K318" s="498"/>
      <x:c r="L318" s="498"/>
      <x:c r="M318" s="498"/>
    </x:row>
    <x:row r="319" ht="18" customHeight="1">
      <x:c r="A319" s="498"/>
      <x:c r="B319" s="498"/>
      <x:c r="C319" s="498"/>
      <x:c r="D319" s="498"/>
      <x:c r="E319" s="498"/>
      <x:c r="F319" s="498"/>
      <x:c r="G319" s="498"/>
      <x:c r="H319" s="498"/>
      <x:c r="I319" s="498"/>
      <x:c r="J319" s="498"/>
      <x:c r="K319" s="498"/>
      <x:c r="L319" s="498"/>
      <x:c r="M319" s="498"/>
    </x:row>
    <x:row r="320" ht="18" customHeight="1">
      <x:c r="A320" s="498"/>
      <x:c r="B320" s="525" t="str">
        <x:v>Paramètres libres</x:v>
      </x:c>
      <x:c r="C320" s="525" t="str">
        <x:v>Paramètres libres</x:v>
      </x:c>
      <x:c r="D320" s="525" t="str">
        <x:v>Paramètres libres</x:v>
      </x:c>
      <x:c r="E320" s="525" t="str">
        <x:v>Paramètres libres</x:v>
      </x:c>
      <x:c r="F320" s="525" t="str">
        <x:v>Paramètres libres</x:v>
      </x:c>
      <x:c r="G320" s="525" t="str">
        <x:v>Paramètres libres</x:v>
      </x:c>
      <x:c r="H320" s="525" t="str">
        <x:v>Paramètres libres</x:v>
      </x:c>
      <x:c r="I320" s="525" t="str">
        <x:v>Paramètres libres</x:v>
      </x:c>
      <x:c r="J320" s="525" t="str">
        <x:v>Paramètres libres</x:v>
      </x:c>
      <x:c r="K320" s="525" t="str">
        <x:v>Paramètres libres</x:v>
      </x:c>
      <x:c r="L320" s="525" t="str">
        <x:v>Paramètres libres</x:v>
      </x:c>
      <x:c r="M320" s="525" t="str">
        <x:v>Paramètres libres</x:v>
      </x:c>
    </x:row>
    <x:row r="321" ht="18" customHeight="1">
      <x:c r="A321" s="498"/>
      <x:c r="B321" s="525" t="str">
        <x:v>Paramètres libres</x:v>
      </x:c>
      <x:c r="C321" s="525" t="str">
        <x:v>Paramètres libres</x:v>
      </x:c>
      <x:c r="D321" s="525" t="str">
        <x:v>Paramètres libres</x:v>
      </x:c>
      <x:c r="E321" s="525" t="str">
        <x:v>Paramètres libres</x:v>
      </x:c>
      <x:c r="F321" s="525" t="str">
        <x:v>Paramètres libres</x:v>
      </x:c>
      <x:c r="G321" s="525" t="str">
        <x:v>Paramètres libres</x:v>
      </x:c>
      <x:c r="H321" s="525" t="str">
        <x:v>Paramètres libres</x:v>
      </x:c>
      <x:c r="I321" s="525" t="str">
        <x:v>Paramètres libres</x:v>
      </x:c>
      <x:c r="J321" s="525" t="str">
        <x:v>Paramètres libres</x:v>
      </x:c>
      <x:c r="K321" s="525" t="str">
        <x:v>Paramètres libres</x:v>
      </x:c>
      <x:c r="L321" s="525" t="str">
        <x:v>Paramètres libres</x:v>
      </x:c>
      <x:c r="M321" s="525" t="str">
        <x:v>Paramètres libres</x:v>
      </x:c>
    </x:row>
    <x:row r="322" ht="18" customHeight="1">
      <x:c r="A322" s="498"/>
      <x:c r="B322" s="498"/>
      <x:c r="C322" s="498"/>
      <x:c r="D322" s="498"/>
      <x:c r="E322" s="498"/>
      <x:c r="F322" s="498"/>
      <x:c r="G322" s="498"/>
      <x:c r="H322" s="498"/>
      <x:c r="I322" s="498"/>
      <x:c r="J322" s="498"/>
      <x:c r="K322" s="498"/>
      <x:c r="L322" s="498"/>
      <x:c r="M322" s="498"/>
    </x:row>
    <x:row r="323" ht="18" customHeight="1">
      <x:c r="A323" s="498"/>
      <x:c r="B323" s="529" t="str">
        <x:v>Explication de Randy Oliver · B1</x:v>
      </x:c>
      <x:c r="C323" s="529" t="str">
        <x:v>Explication de Randy Oliver · B1</x:v>
      </x:c>
      <x:c r="D323" s="529" t="str">
        <x:v>Explication de Randy Oliver · B1</x:v>
      </x:c>
      <x:c r="E323" s="529" t="str">
        <x:v>Explication de Randy Oliver · B1</x:v>
      </x:c>
      <x:c r="F323" s="529" t="str">
        <x:v>Explication de Randy Oliver · B1</x:v>
      </x:c>
      <x:c r="G323" s="529" t="str">
        <x:v>Explication de Randy Oliver · B1</x:v>
      </x:c>
      <x:c r="H323" s="529" t="str">
        <x:v>Explication de Randy Oliver · B1</x:v>
      </x:c>
      <x:c r="I323" s="529" t="str">
        <x:v>Explication de Randy Oliver · B1</x:v>
      </x:c>
      <x:c r="J323" s="529" t="str">
        <x:v>Explication de Randy Oliver · B1</x:v>
      </x:c>
      <x:c r="K323" s="529" t="str">
        <x:v>Explication de Randy Oliver · B1</x:v>
      </x:c>
      <x:c r="L323" s="529" t="str">
        <x:v>Explication de Randy Oliver · B1</x:v>
      </x:c>
      <x:c r="M323" s="529" t="str">
        <x:v>Explication de Randy Oliver · B1</x:v>
      </x:c>
    </x:row>
    <x:row r="324" ht="115.5999984741211" customHeight="1">
      <x:c r="A324" s="498"/>
      <x:c r="B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C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D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E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F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G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H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I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J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K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L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c r="M324" s="508" t="str">
        <x:v>Modèle Varroa de Randy v2023a. Fonctionne de préférence dans Excel. Régler le zoom (en bas à droite) sur 90 %, puis passer en « Plein écran ». Saisir les valeurs initiales dans les cellules vertes pour les profils de colonie et les arrivées de varroas (immigration), décrits dans leurs onglets respectifs, puis ajuster la population initiale de varroas pour qu’elle corresponde à votre comptage mesuré par lavage à l’alcool. Pour planifier votre stratégie de gestion des varroas, saisir ensuite les réductions dues aux traitements dans les cellules jaunes horizontales, par date. Pour les utilisateurs avancés, les détails de personnalisation se trouvent en cellule AG35.</x:v>
      </x:c>
    </x:row>
    <x:row r="325" ht="18" customHeight="1">
      <x:c r="A325" s="498"/>
      <x:c r="B325" s="498"/>
      <x:c r="C325" s="498"/>
      <x:c r="D325" s="498"/>
      <x:c r="E325" s="498"/>
      <x:c r="F325" s="498"/>
      <x:c r="G325" s="498"/>
      <x:c r="H325" s="498"/>
      <x:c r="I325" s="498"/>
      <x:c r="J325" s="498"/>
      <x:c r="K325" s="498"/>
      <x:c r="L325" s="498"/>
      <x:c r="M325" s="498"/>
    </x:row>
    <x:row r="326" ht="18" customHeight="1">
      <x:c r="A326" s="498"/>
      <x:c r="B326" s="529" t="str">
        <x:v>Explication de Randy Oliver · AD3</x:v>
      </x:c>
      <x:c r="C326" s="529" t="str">
        <x:v>Explication de Randy Oliver · AD3</x:v>
      </x:c>
      <x:c r="D326" s="529" t="str">
        <x:v>Explication de Randy Oliver · AD3</x:v>
      </x:c>
      <x:c r="E326" s="529" t="str">
        <x:v>Explication de Randy Oliver · AD3</x:v>
      </x:c>
      <x:c r="F326" s="529" t="str">
        <x:v>Explication de Randy Oliver · AD3</x:v>
      </x:c>
      <x:c r="G326" s="529" t="str">
        <x:v>Explication de Randy Oliver · AD3</x:v>
      </x:c>
      <x:c r="H326" s="529" t="str">
        <x:v>Explication de Randy Oliver · AD3</x:v>
      </x:c>
      <x:c r="I326" s="529" t="str">
        <x:v>Explication de Randy Oliver · AD3</x:v>
      </x:c>
      <x:c r="J326" s="529" t="str">
        <x:v>Explication de Randy Oliver · AD3</x:v>
      </x:c>
      <x:c r="K326" s="529" t="str">
        <x:v>Explication de Randy Oliver · AD3</x:v>
      </x:c>
      <x:c r="L326" s="529" t="str">
        <x:v>Explication de Randy Oliver · AD3</x:v>
      </x:c>
      <x:c r="M326" s="529" t="str">
        <x:v>Explication de Randy Oliver · AD3</x:v>
      </x:c>
    </x:row>
    <x:row r="327" ht="100.80000305175781" customHeight="1">
      <x:c r="A327" s="498"/>
      <x:c r="B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C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D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E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F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G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H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I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J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K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L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c r="M327" s="508" t="str">
        <x:v>Après deux décennies de lutte contre le varroa, j’ai compris que je devais approfondir ma compréhension de la dynamique de ses populations en fonction du climat, de la force de la colonie et de la quantité de couvain, des arrivées de varroas par dérive et de la capacité des abeilles à influer sur leur succès reproductif. À cette fin, j’ai passé en revue presque toutes les études publiées sur le varroa et consacré une année à créer un modèle prédictif précis de l’accroissement des varroas dans une colonie et des effets des traitements, de l’essaimage et d’autres pratiques de conduite.</x:v>
      </x:c>
    </x:row>
    <x:row r="328" ht="41.599998474121094" customHeight="1">
      <x:c r="A328" s="498"/>
      <x:c r="B328" s="508" t="str">
        <x:v>Ce modèle a été confirmé par les données de comptage par lavage à l’alcool de ma propre exploitation commerciale, ainsi que par les retours d’apiculteurs du monde entier.</x:v>
      </x:c>
      <x:c r="C328" s="508" t="str">
        <x:v>Ce modèle a été confirmé par les données de comptage par lavage à l’alcool de ma propre exploitation commerciale, ainsi que par les retours d’apiculteurs du monde entier.</x:v>
      </x:c>
      <x:c r="D328" s="508" t="str">
        <x:v>Ce modèle a été confirmé par les données de comptage par lavage à l’alcool de ma propre exploitation commerciale, ainsi que par les retours d’apiculteurs du monde entier.</x:v>
      </x:c>
      <x:c r="E328" s="508" t="str">
        <x:v>Ce modèle a été confirmé par les données de comptage par lavage à l’alcool de ma propre exploitation commerciale, ainsi que par les retours d’apiculteurs du monde entier.</x:v>
      </x:c>
      <x:c r="F328" s="508" t="str">
        <x:v>Ce modèle a été confirmé par les données de comptage par lavage à l’alcool de ma propre exploitation commerciale, ainsi que par les retours d’apiculteurs du monde entier.</x:v>
      </x:c>
      <x:c r="G328" s="508" t="str">
        <x:v>Ce modèle a été confirmé par les données de comptage par lavage à l’alcool de ma propre exploitation commerciale, ainsi que par les retours d’apiculteurs du monde entier.</x:v>
      </x:c>
      <x:c r="H328" s="508" t="str">
        <x:v>Ce modèle a été confirmé par les données de comptage par lavage à l’alcool de ma propre exploitation commerciale, ainsi que par les retours d’apiculteurs du monde entier.</x:v>
      </x:c>
      <x:c r="I328" s="508" t="str">
        <x:v>Ce modèle a été confirmé par les données de comptage par lavage à l’alcool de ma propre exploitation commerciale, ainsi que par les retours d’apiculteurs du monde entier.</x:v>
      </x:c>
      <x:c r="J328" s="508" t="str">
        <x:v>Ce modèle a été confirmé par les données de comptage par lavage à l’alcool de ma propre exploitation commerciale, ainsi que par les retours d’apiculteurs du monde entier.</x:v>
      </x:c>
      <x:c r="K328" s="508" t="str">
        <x:v>Ce modèle a été confirmé par les données de comptage par lavage à l’alcool de ma propre exploitation commerciale, ainsi que par les retours d’apiculteurs du monde entier.</x:v>
      </x:c>
      <x:c r="L328" s="508" t="str">
        <x:v>Ce modèle a été confirmé par les données de comptage par lavage à l’alcool de ma propre exploitation commerciale, ainsi que par les retours d’apiculteurs du monde entier.</x:v>
      </x:c>
      <x:c r="M328" s="508" t="str">
        <x:v>Ce modèle a été confirmé par les données de comptage par lavage à l’alcool de ma propre exploitation commerciale, ainsi que par les retours d’apiculteurs du monde entier.</x:v>
      </x:c>
    </x:row>
    <x:row r="329" ht="71.19999694824219" customHeight="1">
      <x:c r="A329" s="498"/>
      <x:c r="B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C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D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E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F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G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H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I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J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K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L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c r="M329" s="508" t="str">
        <x:v>J’ai conçu ce modèle pour qu’il soit facile à utiliser par l’apiculteur tout en étant utile aux biologistes de l’abeille. Ce modèle simple effectue environ 1 500 calculs chaque fois que vous saisissez une valeur et il est entièrement personnalisable. Je le révise et le mets à jour continuellement ; utilisez donc toujours la version la plus récente.</x:v>
      </x:c>
    </x:row>
    <x:row r="330" ht="31" customHeight="1">
      <x:c r="A330" s="498"/>
      <x:c r="B330" s="508" t="str">
        <x:v>Hypothèses de base, ajustements et calculs des taux logarithmiques quotidiens r</x:v>
      </x:c>
      <x:c r="C330" s="508" t="str">
        <x:v>Hypothèses de base, ajustements et calculs des taux logarithmiques quotidiens r</x:v>
      </x:c>
      <x:c r="D330" s="508" t="str">
        <x:v>Hypothèses de base, ajustements et calculs des taux logarithmiques quotidiens r</x:v>
      </x:c>
      <x:c r="E330" s="508" t="str">
        <x:v>Hypothèses de base, ajustements et calculs des taux logarithmiques quotidiens r</x:v>
      </x:c>
      <x:c r="F330" s="508" t="str">
        <x:v>Hypothèses de base, ajustements et calculs des taux logarithmiques quotidiens r</x:v>
      </x:c>
      <x:c r="G330" s="508" t="str">
        <x:v>Hypothèses de base, ajustements et calculs des taux logarithmiques quotidiens r</x:v>
      </x:c>
      <x:c r="H330" s="508" t="str">
        <x:v>Hypothèses de base, ajustements et calculs des taux logarithmiques quotidiens r</x:v>
      </x:c>
      <x:c r="I330" s="508" t="str">
        <x:v>Hypothèses de base, ajustements et calculs des taux logarithmiques quotidiens r</x:v>
      </x:c>
      <x:c r="J330" s="508" t="str">
        <x:v>Hypothèses de base, ajustements et calculs des taux logarithmiques quotidiens r</x:v>
      </x:c>
      <x:c r="K330" s="508" t="str">
        <x:v>Hypothèses de base, ajustements et calculs des taux logarithmiques quotidiens r</x:v>
      </x:c>
      <x:c r="L330" s="508" t="str">
        <x:v>Hypothèses de base, ajustements et calculs des taux logarithmiques quotidiens r</x:v>
      </x:c>
      <x:c r="M330" s="508" t="str">
        <x:v>Hypothèses de base, ajustements et calculs des taux logarithmiques quotidiens r</x:v>
      </x:c>
    </x:row>
    <x:row r="331" ht="115.5999984741211" customHeight="1">
      <x:c r="A331" s="498"/>
      <x:c r="B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C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D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E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F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G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H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I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J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K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L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c r="M331" s="508" t="str">
        <x:v>Comme il est presque impossible de prévoir précisément les effets de l’accumulation des varroas et des virus sur la dynamique des populations de la colonie, le modèle suppose que les varroas seront maîtrisés de façon à ne jamais dépasser un niveau affectant la colonie. Je n’ai pas essayé de représenter l’effet de leur prolifération sur la santé de la colonie, en dehors de son effondrement éventuel. Mes propres données de terrain indiquent qu’une proportion des colonies présente des taux d’augmentation des varroas très éloignés de la moyenne, dans un sens comme dans l’autre ; considérez donc que les simulations reflètent des valeurs médianes.</x:v>
      </x:c>
    </x:row>
    <x:row r="332" ht="115.5999984741211" customHeight="1">
      <x:c r="A332" s="498"/>
      <x:c r="B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C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D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E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F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G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H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I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J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K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L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c r="M332" s="508" t="str">
        <x:v>L’hypothèse fondamentale du modèle est que le taux d’invasion des cellules par les varroas fondatrices dépend du hasard et du rapport entre les larves de 5 jours et les abeilles adultes. J’ai utilisé les données de Willem Boot pour établir une équation de régression de base (voir le commentaire en haut de la colonne BX), puis j’ai tiré la plupart de mes autres variables de l’excellent modèle proposé par Stephen Martin, auquel je suis immensément reconnaissant, et j’ai ajouté les arrivées et les départs de varroas. L’hypothèse de départ est que les fondatrices envahissent les cellules selon la relation y=-5*ln(x)+5, où x est le rapport couvain : abeilles adultes et y le nombre de jours de phorésie.</x:v>
      </x:c>
    </x:row>
    <x:row r="333" ht="71.19999694824219" customHeight="1">
      <x:c r="A333" s="498"/>
      <x:c r="B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C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D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E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F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G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H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I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J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K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L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c r="M333" s="508" t="str">
        <x:v>J’ai également utilisé des données de Lloyd Harris et Katie Lee pour déterminer d’autres valeurs, puis j’ai confronté le modèle à mes propres données de terrain ainsi qu’aux données de Jeff Harris, Bob Danka et de toute l’équipe du laboratoire de Baton Rouge, d’Eva Frey et de plusieurs autres chercheurs envers lesquels j’ai une grande dette de reconnaissance. J’ai ajouté des commentaires explicatifs à plusieurs cellules.</x:v>
      </x:c>
    </x:row>
    <x:row r="334" ht="56.400001525878906" customHeight="1">
      <x:c r="A334" s="498"/>
      <x:c r="B334" s="508" t="str">
        <x:v>Je mets ce modèle à la disposition de la communauté apicole et scientifique et accueille volontiers les suggestions d’amélioration. Le mot de passe est sb, mais veillez à enregistrer une copie avant de le modifier !</x:v>
      </x:c>
      <x:c r="C334" s="508" t="str">
        <x:v>Je mets ce modèle à la disposition de la communauté apicole et scientifique et accueille volontiers les suggestions d’amélioration. Le mot de passe est sb, mais veillez à enregistrer une copie avant de le modifier !</x:v>
      </x:c>
      <x:c r="D334" s="508" t="str">
        <x:v>Je mets ce modèle à la disposition de la communauté apicole et scientifique et accueille volontiers les suggestions d’amélioration. Le mot de passe est sb, mais veillez à enregistrer une copie avant de le modifier !</x:v>
      </x:c>
      <x:c r="E334" s="508" t="str">
        <x:v>Je mets ce modèle à la disposition de la communauté apicole et scientifique et accueille volontiers les suggestions d’amélioration. Le mot de passe est sb, mais veillez à enregistrer une copie avant de le modifier !</x:v>
      </x:c>
      <x:c r="F334" s="508" t="str">
        <x:v>Je mets ce modèle à la disposition de la communauté apicole et scientifique et accueille volontiers les suggestions d’amélioration. Le mot de passe est sb, mais veillez à enregistrer une copie avant de le modifier !</x:v>
      </x:c>
      <x:c r="G334" s="508" t="str">
        <x:v>Je mets ce modèle à la disposition de la communauté apicole et scientifique et accueille volontiers les suggestions d’amélioration. Le mot de passe est sb, mais veillez à enregistrer une copie avant de le modifier !</x:v>
      </x:c>
      <x:c r="H334" s="508" t="str">
        <x:v>Je mets ce modèle à la disposition de la communauté apicole et scientifique et accueille volontiers les suggestions d’amélioration. Le mot de passe est sb, mais veillez à enregistrer une copie avant de le modifier !</x:v>
      </x:c>
      <x:c r="I334" s="508" t="str">
        <x:v>Je mets ce modèle à la disposition de la communauté apicole et scientifique et accueille volontiers les suggestions d’amélioration. Le mot de passe est sb, mais veillez à enregistrer une copie avant de le modifier !</x:v>
      </x:c>
      <x:c r="J334" s="508" t="str">
        <x:v>Je mets ce modèle à la disposition de la communauté apicole et scientifique et accueille volontiers les suggestions d’amélioration. Le mot de passe est sb, mais veillez à enregistrer une copie avant de le modifier !</x:v>
      </x:c>
      <x:c r="K334" s="508" t="str">
        <x:v>Je mets ce modèle à la disposition de la communauté apicole et scientifique et accueille volontiers les suggestions d’amélioration. Le mot de passe est sb, mais veillez à enregistrer une copie avant de le modifier !</x:v>
      </x:c>
      <x:c r="L334" s="508" t="str">
        <x:v>Je mets ce modèle à la disposition de la communauté apicole et scientifique et accueille volontiers les suggestions d’amélioration. Le mot de passe est sb, mais veillez à enregistrer une copie avant de le modifier !</x:v>
      </x:c>
      <x:c r="M334" s="508" t="str">
        <x:v>Je mets ce modèle à la disposition de la communauté apicole et scientifique et accueille volontiers les suggestions d’amélioration. Le mot de passe est sb, mais veillez à enregistrer une copie avant de le modifier !</x:v>
      </x:c>
    </x:row>
    <x:row r="335" ht="31" customHeight="1">
      <x:c r="A335" s="498"/>
      <x:c r="B335" s="508" t="str">
        <x:v>Randy Oliver</x:v>
      </x:c>
      <x:c r="C335" s="508" t="str">
        <x:v>Randy Oliver</x:v>
      </x:c>
      <x:c r="D335" s="508" t="str">
        <x:v>Randy Oliver</x:v>
      </x:c>
      <x:c r="E335" s="508" t="str">
        <x:v>Randy Oliver</x:v>
      </x:c>
      <x:c r="F335" s="508" t="str">
        <x:v>Randy Oliver</x:v>
      </x:c>
      <x:c r="G335" s="508" t="str">
        <x:v>Randy Oliver</x:v>
      </x:c>
      <x:c r="H335" s="508" t="str">
        <x:v>Randy Oliver</x:v>
      </x:c>
      <x:c r="I335" s="508" t="str">
        <x:v>Randy Oliver</x:v>
      </x:c>
      <x:c r="J335" s="508" t="str">
        <x:v>Randy Oliver</x:v>
      </x:c>
      <x:c r="K335" s="508" t="str">
        <x:v>Randy Oliver</x:v>
      </x:c>
      <x:c r="L335" s="508" t="str">
        <x:v>Randy Oliver</x:v>
      </x:c>
      <x:c r="M335" s="508" t="str">
        <x:v>Randy Oliver</x:v>
      </x:c>
    </x:row>
    <x:row r="336" ht="18" customHeight="1">
      <x:c r="A336" s="498"/>
      <x:c r="B336" s="498"/>
      <x:c r="C336" s="498"/>
      <x:c r="D336" s="498"/>
      <x:c r="E336" s="498"/>
      <x:c r="F336" s="498"/>
      <x:c r="G336" s="498"/>
      <x:c r="H336" s="498"/>
      <x:c r="I336" s="498"/>
      <x:c r="J336" s="498"/>
      <x:c r="K336" s="498"/>
      <x:c r="L336" s="498"/>
      <x:c r="M336" s="498"/>
    </x:row>
    <x:row r="337" ht="18" customHeight="1">
      <x:c r="A337" s="498"/>
      <x:c r="B337" s="529" t="str">
        <x:v>Explication de Randy Oliver · H4</x:v>
      </x:c>
      <x:c r="C337" s="529" t="str">
        <x:v>Explication de Randy Oliver · H4</x:v>
      </x:c>
      <x:c r="D337" s="529" t="str">
        <x:v>Explication de Randy Oliver · H4</x:v>
      </x:c>
      <x:c r="E337" s="529" t="str">
        <x:v>Explication de Randy Oliver · H4</x:v>
      </x:c>
      <x:c r="F337" s="529" t="str">
        <x:v>Explication de Randy Oliver · H4</x:v>
      </x:c>
      <x:c r="G337" s="529" t="str">
        <x:v>Explication de Randy Oliver · H4</x:v>
      </x:c>
      <x:c r="H337" s="529" t="str">
        <x:v>Explication de Randy Oliver · H4</x:v>
      </x:c>
      <x:c r="I337" s="529" t="str">
        <x:v>Explication de Randy Oliver · H4</x:v>
      </x:c>
      <x:c r="J337" s="529" t="str">
        <x:v>Explication de Randy Oliver · H4</x:v>
      </x:c>
      <x:c r="K337" s="529" t="str">
        <x:v>Explication de Randy Oliver · H4</x:v>
      </x:c>
      <x:c r="L337" s="529" t="str">
        <x:v>Explication de Randy Oliver · H4</x:v>
      </x:c>
      <x:c r="M337" s="529" t="str">
        <x:v>Explication de Randy Oliver · H4</x:v>
      </x:c>
    </x:row>
    <x:row r="338" ht="31" customHeight="1">
      <x:c r="A338" s="498"/>
      <x:c r="B338" s="508" t="str">
        <x:v>Ce modèle est en cours d’élaboration : veillez à utiliser la version la plus récente !</x:v>
      </x:c>
      <x:c r="C338" s="508" t="str">
        <x:v>Ce modèle est en cours d’élaboration : veillez à utiliser la version la plus récente !</x:v>
      </x:c>
      <x:c r="D338" s="508" t="str">
        <x:v>Ce modèle est en cours d’élaboration : veillez à utiliser la version la plus récente !</x:v>
      </x:c>
      <x:c r="E338" s="508" t="str">
        <x:v>Ce modèle est en cours d’élaboration : veillez à utiliser la version la plus récente !</x:v>
      </x:c>
      <x:c r="F338" s="508" t="str">
        <x:v>Ce modèle est en cours d’élaboration : veillez à utiliser la version la plus récente !</x:v>
      </x:c>
      <x:c r="G338" s="508" t="str">
        <x:v>Ce modèle est en cours d’élaboration : veillez à utiliser la version la plus récente !</x:v>
      </x:c>
      <x:c r="H338" s="508" t="str">
        <x:v>Ce modèle est en cours d’élaboration : veillez à utiliser la version la plus récente !</x:v>
      </x:c>
      <x:c r="I338" s="508" t="str">
        <x:v>Ce modèle est en cours d’élaboration : veillez à utiliser la version la plus récente !</x:v>
      </x:c>
      <x:c r="J338" s="508" t="str">
        <x:v>Ce modèle est en cours d’élaboration : veillez à utiliser la version la plus récente !</x:v>
      </x:c>
      <x:c r="K338" s="508" t="str">
        <x:v>Ce modèle est en cours d’élaboration : veillez à utiliser la version la plus récente !</x:v>
      </x:c>
      <x:c r="L338" s="508" t="str">
        <x:v>Ce modèle est en cours d’élaboration : veillez à utiliser la version la plus récente !</x:v>
      </x:c>
      <x:c r="M338" s="508" t="str">
        <x:v>Ce modèle est en cours d’élaboration : veillez à utiliser la version la plus récente !</x:v>
      </x:c>
    </x:row>
    <x:row r="339" ht="18" customHeight="1">
      <x:c r="A339" s="498"/>
      <x:c r="B339" s="498"/>
      <x:c r="C339" s="498"/>
      <x:c r="D339" s="498"/>
      <x:c r="E339" s="498"/>
      <x:c r="F339" s="498"/>
      <x:c r="G339" s="498"/>
      <x:c r="H339" s="498"/>
      <x:c r="I339" s="498"/>
      <x:c r="J339" s="498"/>
      <x:c r="K339" s="498"/>
      <x:c r="L339" s="498"/>
      <x:c r="M339" s="498"/>
    </x:row>
    <x:row r="340" ht="18" customHeight="1">
      <x:c r="A340" s="498"/>
      <x:c r="B340" s="529" t="str">
        <x:v>Explication de Randy Oliver · N36</x:v>
      </x:c>
      <x:c r="C340" s="529" t="str">
        <x:v>Explication de Randy Oliver · N36</x:v>
      </x:c>
      <x:c r="D340" s="529" t="str">
        <x:v>Explication de Randy Oliver · N36</x:v>
      </x:c>
      <x:c r="E340" s="529" t="str">
        <x:v>Explication de Randy Oliver · N36</x:v>
      </x:c>
      <x:c r="F340" s="529" t="str">
        <x:v>Explication de Randy Oliver · N36</x:v>
      </x:c>
      <x:c r="G340" s="529" t="str">
        <x:v>Explication de Randy Oliver · N36</x:v>
      </x:c>
      <x:c r="H340" s="529" t="str">
        <x:v>Explication de Randy Oliver · N36</x:v>
      </x:c>
      <x:c r="I340" s="529" t="str">
        <x:v>Explication de Randy Oliver · N36</x:v>
      </x:c>
      <x:c r="J340" s="529" t="str">
        <x:v>Explication de Randy Oliver · N36</x:v>
      </x:c>
      <x:c r="K340" s="529" t="str">
        <x:v>Explication de Randy Oliver · N36</x:v>
      </x:c>
      <x:c r="L340" s="529" t="str">
        <x:v>Explication de Randy Oliver · N36</x:v>
      </x:c>
      <x:c r="M340" s="529" t="str">
        <x:v>Explication de Randy Oliver · N36</x:v>
      </x:c>
    </x:row>
    <x:row r="341" ht="31" customHeight="1">
      <x:c r="A341" s="498"/>
      <x:c r="B341" s="508" t="str">
        <x:v>Réductions attendues des varroas selon l’option de traitement :</x:v>
      </x:c>
      <x:c r="C341" s="508" t="str">
        <x:v>Réductions attendues des varroas selon l’option de traitement :</x:v>
      </x:c>
      <x:c r="D341" s="508" t="str">
        <x:v>Réductions attendues des varroas selon l’option de traitement :</x:v>
      </x:c>
      <x:c r="E341" s="508" t="str">
        <x:v>Réductions attendues des varroas selon l’option de traitement :</x:v>
      </x:c>
      <x:c r="F341" s="508" t="str">
        <x:v>Réductions attendues des varroas selon l’option de traitement :</x:v>
      </x:c>
      <x:c r="G341" s="508" t="str">
        <x:v>Réductions attendues des varroas selon l’option de traitement :</x:v>
      </x:c>
      <x:c r="H341" s="508" t="str">
        <x:v>Réductions attendues des varroas selon l’option de traitement :</x:v>
      </x:c>
      <x:c r="I341" s="508" t="str">
        <x:v>Réductions attendues des varroas selon l’option de traitement :</x:v>
      </x:c>
      <x:c r="J341" s="508" t="str">
        <x:v>Réductions attendues des varroas selon l’option de traitement :</x:v>
      </x:c>
      <x:c r="K341" s="508" t="str">
        <x:v>Réductions attendues des varroas selon l’option de traitement :</x:v>
      </x:c>
      <x:c r="L341" s="508" t="str">
        <x:v>Réductions attendues des varroas selon l’option de traitement :</x:v>
      </x:c>
      <x:c r="M341" s="508" t="str">
        <x:v>Réductions attendues des varroas selon l’option de traitement :</x:v>
      </x:c>
    </x:row>
    <x:row r="342" ht="41.599998474121094" customHeight="1">
      <x:c r="A342" s="498"/>
      <x:c r="B342" s="508" t="str">
        <x:v>95 % : acaricide de synthèse très efficace, tel que l’amitraz (Apivar), appliqué sur plusieurs semaines. Son action n’est pas rapide ; il vaut donc mieux l’appliquer de façon anticipée, tôt dans la saison.</x:v>
      </x:c>
      <x:c r="C342" s="508" t="str">
        <x:v>95 % : acaricide de synthèse très efficace, tel que l’amitraz (Apivar), appliqué sur plusieurs semaines. Son action n’est pas rapide ; il vaut donc mieux l’appliquer de façon anticipée, tôt dans la saison.</x:v>
      </x:c>
      <x:c r="D342" s="508" t="str">
        <x:v>95 % : acaricide de synthèse très efficace, tel que l’amitraz (Apivar), appliqué sur plusieurs semaines. Son action n’est pas rapide ; il vaut donc mieux l’appliquer de façon anticipée, tôt dans la saison.</x:v>
      </x:c>
      <x:c r="E342" s="508" t="str">
        <x:v>95 % : acaricide de synthèse très efficace, tel que l’amitraz (Apivar), appliqué sur plusieurs semaines. Son action n’est pas rapide ; il vaut donc mieux l’appliquer de façon anticipée, tôt dans la saison.</x:v>
      </x:c>
      <x:c r="F342" s="508" t="str">
        <x:v>95 % : acaricide de synthèse très efficace, tel que l’amitraz (Apivar), appliqué sur plusieurs semaines. Son action n’est pas rapide ; il vaut donc mieux l’appliquer de façon anticipée, tôt dans la saison.</x:v>
      </x:c>
      <x:c r="G342" s="508" t="str">
        <x:v>95 % : acaricide de synthèse très efficace, tel que l’amitraz (Apivar), appliqué sur plusieurs semaines. Son action n’est pas rapide ; il vaut donc mieux l’appliquer de façon anticipée, tôt dans la saison.</x:v>
      </x:c>
      <x:c r="H342" s="508" t="str">
        <x:v>95 % : acaricide de synthèse très efficace, tel que l’amitraz (Apivar), appliqué sur plusieurs semaines. Son action n’est pas rapide ; il vaut donc mieux l’appliquer de façon anticipée, tôt dans la saison.</x:v>
      </x:c>
      <x:c r="I342" s="508" t="str">
        <x:v>95 % : acaricide de synthèse très efficace, tel que l’amitraz (Apivar), appliqué sur plusieurs semaines. Son action n’est pas rapide ; il vaut donc mieux l’appliquer de façon anticipée, tôt dans la saison.</x:v>
      </x:c>
      <x:c r="J342" s="508" t="str">
        <x:v>95 % : acaricide de synthèse très efficace, tel que l’amitraz (Apivar), appliqué sur plusieurs semaines. Son action n’est pas rapide ; il vaut donc mieux l’appliquer de façon anticipée, tôt dans la saison.</x:v>
      </x:c>
      <x:c r="K342" s="508" t="str">
        <x:v>95 % : acaricide de synthèse très efficace, tel que l’amitraz (Apivar), appliqué sur plusieurs semaines. Son action n’est pas rapide ; il vaut donc mieux l’appliquer de façon anticipée, tôt dans la saison.</x:v>
      </x:c>
      <x:c r="L342" s="508" t="str">
        <x:v>95 % : acaricide de synthèse très efficace, tel que l’amitraz (Apivar), appliqué sur plusieurs semaines. Son action n’est pas rapide ; il vaut donc mieux l’appliquer de façon anticipée, tôt dans la saison.</x:v>
      </x:c>
      <x:c r="M342" s="508" t="str">
        <x:v>95 % : acaricide de synthèse très efficace, tel que l’amitraz (Apivar), appliqué sur plusieurs semaines. Son action n’est pas rapide ; il vaut donc mieux l’appliquer de façon anticipée, tôt dans la saison.</x:v>
      </x:c>
    </x:row>
    <x:row r="343" ht="41.599998474121094" customHeight="1">
      <x:c r="A343" s="498"/>
      <x:c r="B343" s="508" t="str">
        <x:v>90 % : deux traitements de 50 g d’Apiguard (ou trois d’Apilife Var), à 10 jours d’intervalle, dans une rehausse. À utiliser de préférence en août, car le thymol réduit l’élevage du couvain.</x:v>
      </x:c>
      <x:c r="C343" s="508" t="str">
        <x:v>90 % : deux traitements de 50 g d’Apiguard (ou trois d’Apilife Var), à 10 jours d’intervalle, dans une rehausse. À utiliser de préférence en août, car le thymol réduit l’élevage du couvain.</x:v>
      </x:c>
      <x:c r="D343" s="508" t="str">
        <x:v>90 % : deux traitements de 50 g d’Apiguard (ou trois d’Apilife Var), à 10 jours d’intervalle, dans une rehausse. À utiliser de préférence en août, car le thymol réduit l’élevage du couvain.</x:v>
      </x:c>
      <x:c r="E343" s="508" t="str">
        <x:v>90 % : deux traitements de 50 g d’Apiguard (ou trois d’Apilife Var), à 10 jours d’intervalle, dans une rehausse. À utiliser de préférence en août, car le thymol réduit l’élevage du couvain.</x:v>
      </x:c>
      <x:c r="F343" s="508" t="str">
        <x:v>90 % : deux traitements de 50 g d’Apiguard (ou trois d’Apilife Var), à 10 jours d’intervalle, dans une rehausse. À utiliser de préférence en août, car le thymol réduit l’élevage du couvain.</x:v>
      </x:c>
      <x:c r="G343" s="508" t="str">
        <x:v>90 % : deux traitements de 50 g d’Apiguard (ou trois d’Apilife Var), à 10 jours d’intervalle, dans une rehausse. À utiliser de préférence en août, car le thymol réduit l’élevage du couvain.</x:v>
      </x:c>
      <x:c r="H343" s="508" t="str">
        <x:v>90 % : deux traitements de 50 g d’Apiguard (ou trois d’Apilife Var), à 10 jours d’intervalle, dans une rehausse. À utiliser de préférence en août, car le thymol réduit l’élevage du couvain.</x:v>
      </x:c>
      <x:c r="I343" s="508" t="str">
        <x:v>90 % : deux traitements de 50 g d’Apiguard (ou trois d’Apilife Var), à 10 jours d’intervalle, dans une rehausse. À utiliser de préférence en août, car le thymol réduit l’élevage du couvain.</x:v>
      </x:c>
      <x:c r="J343" s="508" t="str">
        <x:v>90 % : deux traitements de 50 g d’Apiguard (ou trois d’Apilife Var), à 10 jours d’intervalle, dans une rehausse. À utiliser de préférence en août, car le thymol réduit l’élevage du couvain.</x:v>
      </x:c>
      <x:c r="K343" s="508" t="str">
        <x:v>90 % : deux traitements de 50 g d’Apiguard (ou trois d’Apilife Var), à 10 jours d’intervalle, dans une rehausse. À utiliser de préférence en août, car le thymol réduit l’élevage du couvain.</x:v>
      </x:c>
      <x:c r="L343" s="508" t="str">
        <x:v>90 % : deux traitements de 50 g d’Apiguard (ou trois d’Apilife Var), à 10 jours d’intervalle, dans une rehausse. À utiliser de préférence en août, car le thymol réduit l’élevage du couvain.</x:v>
      </x:c>
      <x:c r="M343" s="508" t="str">
        <x:v>90 % : deux traitements de 50 g d’Apiguard (ou trois d’Apilife Var), à 10 jours d’intervalle, dans une rehausse. À utiliser de préférence en août, car le thymol réduit l’élevage du couvain.</x:v>
      </x:c>
    </x:row>
    <x:row r="344" ht="56.400001525878906" customHeight="1">
      <x:c r="A344" s="498"/>
      <x:c r="B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C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D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E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F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G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H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I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J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K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L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M344" s="508" t="str">
        <x:v>70–90 % (parfois moins) : 2 bandes MAQS ou Formic Pro, ou un traitement fort à l’acide formique (libération progressive ou traitement flash puissant). Meilleur traitement pour faire chuter rapidement les varroas par temps chaud. Peut être utilisé pendant la miellée.</x:v>
      </x:c>
    </x:row>
    <x:row r="345" ht="41.599998474121094" customHeight="1">
      <x:c r="A345" s="498"/>
      <x:c r="B345" s="508" t="str">
        <x:v>50 % (environ) : 1 bande MAQS ou Formic Pro, ou un traitement unique de faible intensité à l’acide formique pour une réduction rapide. Cette réduction rapide permet de gagner du temps et ménage davantage la reine.</x:v>
      </x:c>
      <x:c r="C345" s="508" t="str">
        <x:v>50 % (environ) : 1 bande MAQS ou Formic Pro, ou un traitement unique de faible intensité à l’acide formique pour une réduction rapide. Cette réduction rapide permet de gagner du temps et ménage davantage la reine.</x:v>
      </x:c>
      <x:c r="D345" s="508" t="str">
        <x:v>50 % (environ) : 1 bande MAQS ou Formic Pro, ou un traitement unique de faible intensité à l’acide formique pour une réduction rapide. Cette réduction rapide permet de gagner du temps et ménage davantage la reine.</x:v>
      </x:c>
      <x:c r="E345" s="508" t="str">
        <x:v>50 % (environ) : 1 bande MAQS ou Formic Pro, ou un traitement unique de faible intensité à l’acide formique pour une réduction rapide. Cette réduction rapide permet de gagner du temps et ménage davantage la reine.</x:v>
      </x:c>
      <x:c r="F345" s="508" t="str">
        <x:v>50 % (environ) : 1 bande MAQS ou Formic Pro, ou un traitement unique de faible intensité à l’acide formique pour une réduction rapide. Cette réduction rapide permet de gagner du temps et ménage davantage la reine.</x:v>
      </x:c>
      <x:c r="G345" s="508" t="str">
        <x:v>50 % (environ) : 1 bande MAQS ou Formic Pro, ou un traitement unique de faible intensité à l’acide formique pour une réduction rapide. Cette réduction rapide permet de gagner du temps et ménage davantage la reine.</x:v>
      </x:c>
      <x:c r="H345" s="508" t="str">
        <x:v>50 % (environ) : 1 bande MAQS ou Formic Pro, ou un traitement unique de faible intensité à l’acide formique pour une réduction rapide. Cette réduction rapide permet de gagner du temps et ménage davantage la reine.</x:v>
      </x:c>
      <x:c r="I345" s="508" t="str">
        <x:v>50 % (environ) : 1 bande MAQS ou Formic Pro, ou un traitement unique de faible intensité à l’acide formique pour une réduction rapide. Cette réduction rapide permet de gagner du temps et ménage davantage la reine.</x:v>
      </x:c>
      <x:c r="J345" s="508" t="str">
        <x:v>50 % (environ) : 1 bande MAQS ou Formic Pro, ou un traitement unique de faible intensité à l’acide formique pour une réduction rapide. Cette réduction rapide permet de gagner du temps et ménage davantage la reine.</x:v>
      </x:c>
      <x:c r="K345" s="508" t="str">
        <x:v>50 % (environ) : 1 bande MAQS ou Formic Pro, ou un traitement unique de faible intensité à l’acide formique pour une réduction rapide. Cette réduction rapide permet de gagner du temps et ménage davantage la reine.</x:v>
      </x:c>
      <x:c r="L345" s="508" t="str">
        <x:v>50 % (environ) : 1 bande MAQS ou Formic Pro, ou un traitement unique de faible intensité à l’acide formique pour une réduction rapide. Cette réduction rapide permet de gagner du temps et ménage davantage la reine.</x:v>
      </x:c>
      <x:c r="M345" s="508" t="str">
        <x:v>50 % (environ) : 1 bande MAQS ou Formic Pro, ou un traitement unique de faible intensité à l’acide formique pour une réduction rapide. Cette réduction rapide permet de gagner du temps et ménage davantage la reine.</x:v>
      </x:c>
    </x:row>
    <x:row r="346" ht="41.599998474121094" customHeight="1">
      <x:c r="A346" s="498"/>
      <x:c r="B346" s="508" t="str">
        <x:v>80–90 % : Hopguard 3 si la colonie est sans couvain ; des applications répétées seraient nécessaires en présence de couvain. Peut être utilisé pendant la miellée.</x:v>
      </x:c>
      <x:c r="C346" s="508" t="str">
        <x:v>80–90 % : Hopguard 3 si la colonie est sans couvain ; des applications répétées seraient nécessaires en présence de couvain. Peut être utilisé pendant la miellée.</x:v>
      </x:c>
      <x:c r="D346" s="508" t="str">
        <x:v>80–90 % : Hopguard 3 si la colonie est sans couvain ; des applications répétées seraient nécessaires en présence de couvain. Peut être utilisé pendant la miellée.</x:v>
      </x:c>
      <x:c r="E346" s="508" t="str">
        <x:v>80–90 % : Hopguard 3 si la colonie est sans couvain ; des applications répétées seraient nécessaires en présence de couvain. Peut être utilisé pendant la miellée.</x:v>
      </x:c>
      <x:c r="F346" s="508" t="str">
        <x:v>80–90 % : Hopguard 3 si la colonie est sans couvain ; des applications répétées seraient nécessaires en présence de couvain. Peut être utilisé pendant la miellée.</x:v>
      </x:c>
      <x:c r="G346" s="508" t="str">
        <x:v>80–90 % : Hopguard 3 si la colonie est sans couvain ; des applications répétées seraient nécessaires en présence de couvain. Peut être utilisé pendant la miellée.</x:v>
      </x:c>
      <x:c r="H346" s="508" t="str">
        <x:v>80–90 % : Hopguard 3 si la colonie est sans couvain ; des applications répétées seraient nécessaires en présence de couvain. Peut être utilisé pendant la miellée.</x:v>
      </x:c>
      <x:c r="I346" s="508" t="str">
        <x:v>80–90 % : Hopguard 3 si la colonie est sans couvain ; des applications répétées seraient nécessaires en présence de couvain. Peut être utilisé pendant la miellée.</x:v>
      </x:c>
      <x:c r="J346" s="508" t="str">
        <x:v>80–90 % : Hopguard 3 si la colonie est sans couvain ; des applications répétées seraient nécessaires en présence de couvain. Peut être utilisé pendant la miellée.</x:v>
      </x:c>
      <x:c r="K346" s="508" t="str">
        <x:v>80–90 % : Hopguard 3 si la colonie est sans couvain ; des applications répétées seraient nécessaires en présence de couvain. Peut être utilisé pendant la miellée.</x:v>
      </x:c>
      <x:c r="L346" s="508" t="str">
        <x:v>80–90 % : Hopguard 3 si la colonie est sans couvain ; des applications répétées seraient nécessaires en présence de couvain. Peut être utilisé pendant la miellée.</x:v>
      </x:c>
      <x:c r="M346" s="508" t="str">
        <x:v>80–90 % : Hopguard 3 si la colonie est sans couvain ; des applications répétées seraient nécessaires en présence de couvain. Peut être utilisé pendant la miellée.</x:v>
      </x:c>
    </x:row>
    <x:row r="347" ht="41.599998474121094" customHeight="1">
      <x:c r="A347" s="498"/>
      <x:c r="B347" s="508" t="str">
        <x:v>25 % : un seul poudrage au sucre glace, en supposant la chute de 50 % des varroas phorétiques. Nécessite des applications répétées et poursuivies dans le temps.</x:v>
      </x:c>
      <x:c r="C347" s="508" t="str">
        <x:v>25 % : un seul poudrage au sucre glace, en supposant la chute de 50 % des varroas phorétiques. Nécessite des applications répétées et poursuivies dans le temps.</x:v>
      </x:c>
      <x:c r="D347" s="508" t="str">
        <x:v>25 % : un seul poudrage au sucre glace, en supposant la chute de 50 % des varroas phorétiques. Nécessite des applications répétées et poursuivies dans le temps.</x:v>
      </x:c>
      <x:c r="E347" s="508" t="str">
        <x:v>25 % : un seul poudrage au sucre glace, en supposant la chute de 50 % des varroas phorétiques. Nécessite des applications répétées et poursuivies dans le temps.</x:v>
      </x:c>
      <x:c r="F347" s="508" t="str">
        <x:v>25 % : un seul poudrage au sucre glace, en supposant la chute de 50 % des varroas phorétiques. Nécessite des applications répétées et poursuivies dans le temps.</x:v>
      </x:c>
      <x:c r="G347" s="508" t="str">
        <x:v>25 % : un seul poudrage au sucre glace, en supposant la chute de 50 % des varroas phorétiques. Nécessite des applications répétées et poursuivies dans le temps.</x:v>
      </x:c>
      <x:c r="H347" s="508" t="str">
        <x:v>25 % : un seul poudrage au sucre glace, en supposant la chute de 50 % des varroas phorétiques. Nécessite des applications répétées et poursuivies dans le temps.</x:v>
      </x:c>
      <x:c r="I347" s="508" t="str">
        <x:v>25 % : un seul poudrage au sucre glace, en supposant la chute de 50 % des varroas phorétiques. Nécessite des applications répétées et poursuivies dans le temps.</x:v>
      </x:c>
      <x:c r="J347" s="508" t="str">
        <x:v>25 % : un seul poudrage au sucre glace, en supposant la chute de 50 % des varroas phorétiques. Nécessite des applications répétées et poursuivies dans le temps.</x:v>
      </x:c>
      <x:c r="K347" s="508" t="str">
        <x:v>25 % : un seul poudrage au sucre glace, en supposant la chute de 50 % des varroas phorétiques. Nécessite des applications répétées et poursuivies dans le temps.</x:v>
      </x:c>
      <x:c r="L347" s="508" t="str">
        <x:v>25 % : un seul poudrage au sucre glace, en supposant la chute de 50 % des varroas phorétiques. Nécessite des applications répétées et poursuivies dans le temps.</x:v>
      </x:c>
      <x:c r="M347" s="508" t="str">
        <x:v>25 % : un seul poudrage au sucre glace, en supposant la chute de 50 % des varroas phorétiques. Nécessite des applications répétées et poursuivies dans le temps.</x:v>
      </x:c>
    </x:row>
    <x:row r="348" ht="41.599998474121094" customHeight="1">
      <x:c r="A348" s="498"/>
      <x:c r="B348" s="508" t="str">
        <x:v>15–20 % : retrait complet du couvain de mâles, réalisé tôt dans la saison, à chaque retrait. Apporte une certaine réduction, mais demande beaucoup de travail.</x:v>
      </x:c>
      <x:c r="C348" s="508" t="str">
        <x:v>15–20 % : retrait complet du couvain de mâles, réalisé tôt dans la saison, à chaque retrait. Apporte une certaine réduction, mais demande beaucoup de travail.</x:v>
      </x:c>
      <x:c r="D348" s="508" t="str">
        <x:v>15–20 % : retrait complet du couvain de mâles, réalisé tôt dans la saison, à chaque retrait. Apporte une certaine réduction, mais demande beaucoup de travail.</x:v>
      </x:c>
      <x:c r="E348" s="508" t="str">
        <x:v>15–20 % : retrait complet du couvain de mâles, réalisé tôt dans la saison, à chaque retrait. Apporte une certaine réduction, mais demande beaucoup de travail.</x:v>
      </x:c>
      <x:c r="F348" s="508" t="str">
        <x:v>15–20 % : retrait complet du couvain de mâles, réalisé tôt dans la saison, à chaque retrait. Apporte une certaine réduction, mais demande beaucoup de travail.</x:v>
      </x:c>
      <x:c r="G348" s="508" t="str">
        <x:v>15–20 % : retrait complet du couvain de mâles, réalisé tôt dans la saison, à chaque retrait. Apporte une certaine réduction, mais demande beaucoup de travail.</x:v>
      </x:c>
      <x:c r="H348" s="508" t="str">
        <x:v>15–20 % : retrait complet du couvain de mâles, réalisé tôt dans la saison, à chaque retrait. Apporte une certaine réduction, mais demande beaucoup de travail.</x:v>
      </x:c>
      <x:c r="I348" s="508" t="str">
        <x:v>15–20 % : retrait complet du couvain de mâles, réalisé tôt dans la saison, à chaque retrait. Apporte une certaine réduction, mais demande beaucoup de travail.</x:v>
      </x:c>
      <x:c r="J348" s="508" t="str">
        <x:v>15–20 % : retrait complet du couvain de mâles, réalisé tôt dans la saison, à chaque retrait. Apporte une certaine réduction, mais demande beaucoup de travail.</x:v>
      </x:c>
      <x:c r="K348" s="508" t="str">
        <x:v>15–20 % : retrait complet du couvain de mâles, réalisé tôt dans la saison, à chaque retrait. Apporte une certaine réduction, mais demande beaucoup de travail.</x:v>
      </x:c>
      <x:c r="L348" s="508" t="str">
        <x:v>15–20 % : retrait complet du couvain de mâles, réalisé tôt dans la saison, à chaque retrait. Apporte une certaine réduction, mais demande beaucoup de travail.</x:v>
      </x:c>
      <x:c r="M348" s="508" t="str">
        <x:v>15–20 % : retrait complet du couvain de mâles, réalisé tôt dans la saison, à chaque retrait. Apporte une certaine réduction, mais demande beaucoup de travail.</x:v>
      </x:c>
    </x:row>
    <x:row r="349" ht="41.599998474121094" customHeight="1">
      <x:c r="A349" s="498"/>
      <x:c r="B349" s="508" t="str">
        <x:v>80–95 % : dégouttement ou sublimation d’acide oxalique en l’absence de couvain. Excellente réduction lorsque la colonie est sans couvain, à la suite d’une rupture naturelle ou provoquée.</x:v>
      </x:c>
      <x:c r="C349" s="508" t="str">
        <x:v>80–95 % : dégouttement ou sublimation d’acide oxalique en l’absence de couvain. Excellente réduction lorsque la colonie est sans couvain, à la suite d’une rupture naturelle ou provoquée.</x:v>
      </x:c>
      <x:c r="D349" s="508" t="str">
        <x:v>80–95 % : dégouttement ou sublimation d’acide oxalique en l’absence de couvain. Excellente réduction lorsque la colonie est sans couvain, à la suite d’une rupture naturelle ou provoquée.</x:v>
      </x:c>
      <x:c r="E349" s="508" t="str">
        <x:v>80–95 % : dégouttement ou sublimation d’acide oxalique en l’absence de couvain. Excellente réduction lorsque la colonie est sans couvain, à la suite d’une rupture naturelle ou provoquée.</x:v>
      </x:c>
      <x:c r="F349" s="508" t="str">
        <x:v>80–95 % : dégouttement ou sublimation d’acide oxalique en l’absence de couvain. Excellente réduction lorsque la colonie est sans couvain, à la suite d’une rupture naturelle ou provoquée.</x:v>
      </x:c>
      <x:c r="G349" s="508" t="str">
        <x:v>80–95 % : dégouttement ou sublimation d’acide oxalique en l’absence de couvain. Excellente réduction lorsque la colonie est sans couvain, à la suite d’une rupture naturelle ou provoquée.</x:v>
      </x:c>
      <x:c r="H349" s="508" t="str">
        <x:v>80–95 % : dégouttement ou sublimation d’acide oxalique en l’absence de couvain. Excellente réduction lorsque la colonie est sans couvain, à la suite d’une rupture naturelle ou provoquée.</x:v>
      </x:c>
      <x:c r="I349" s="508" t="str">
        <x:v>80–95 % : dégouttement ou sublimation d’acide oxalique en l’absence de couvain. Excellente réduction lorsque la colonie est sans couvain, à la suite d’une rupture naturelle ou provoquée.</x:v>
      </x:c>
      <x:c r="J349" s="508" t="str">
        <x:v>80–95 % : dégouttement ou sublimation d’acide oxalique en l’absence de couvain. Excellente réduction lorsque la colonie est sans couvain, à la suite d’une rupture naturelle ou provoquée.</x:v>
      </x:c>
      <x:c r="K349" s="508" t="str">
        <x:v>80–95 % : dégouttement ou sublimation d’acide oxalique en l’absence de couvain. Excellente réduction lorsque la colonie est sans couvain, à la suite d’une rupture naturelle ou provoquée.</x:v>
      </x:c>
      <x:c r="L349" s="508" t="str">
        <x:v>80–95 % : dégouttement ou sublimation d’acide oxalique en l’absence de couvain. Excellente réduction lorsque la colonie est sans couvain, à la suite d’une rupture naturelle ou provoquée.</x:v>
      </x:c>
      <x:c r="M349" s="508" t="str">
        <x:v>80–95 % : dégouttement ou sublimation d’acide oxalique en l’absence de couvain. Excellente réduction lorsque la colonie est sans couvain, à la suite d’une rupture naturelle ou provoquée.</x:v>
      </x:c>
    </x:row>
    <x:row r="350" ht="56.400001525878906" customHeight="1">
      <x:c r="A350" s="498"/>
      <x:c r="B350" s="508" t="str">
        <x:v>15–45 % : un dégouttement ou une sublimation d’acide oxalique dans une ruche contenant du couvain, proportionnellement au % de varroas phorétiques. Réduction limitée lorsque les colonies contiennent du couvain.</x:v>
      </x:c>
      <x:c r="C350" s="508" t="str">
        <x:v>15–45 % : un dégouttement ou une sublimation d’acide oxalique dans une ruche contenant du couvain, proportionnellement au % de varroas phorétiques. Réduction limitée lorsque les colonies contiennent du couvain.</x:v>
      </x:c>
      <x:c r="D350" s="508" t="str">
        <x:v>15–45 % : un dégouttement ou une sublimation d’acide oxalique dans une ruche contenant du couvain, proportionnellement au % de varroas phorétiques. Réduction limitée lorsque les colonies contiennent du couvain.</x:v>
      </x:c>
      <x:c r="E350" s="508" t="str">
        <x:v>15–45 % : un dégouttement ou une sublimation d’acide oxalique dans une ruche contenant du couvain, proportionnellement au % de varroas phorétiques. Réduction limitée lorsque les colonies contiennent du couvain.</x:v>
      </x:c>
      <x:c r="F350" s="508" t="str">
        <x:v>15–45 % : un dégouttement ou une sublimation d’acide oxalique dans une ruche contenant du couvain, proportionnellement au % de varroas phorétiques. Réduction limitée lorsque les colonies contiennent du couvain.</x:v>
      </x:c>
      <x:c r="G350" s="508" t="str">
        <x:v>15–45 % : un dégouttement ou une sublimation d’acide oxalique dans une ruche contenant du couvain, proportionnellement au % de varroas phorétiques. Réduction limitée lorsque les colonies contiennent du couvain.</x:v>
      </x:c>
      <x:c r="H350" s="508" t="str">
        <x:v>15–45 % : un dégouttement ou une sublimation d’acide oxalique dans une ruche contenant du couvain, proportionnellement au % de varroas phorétiques. Réduction limitée lorsque les colonies contiennent du couvain.</x:v>
      </x:c>
      <x:c r="I350" s="508" t="str">
        <x:v>15–45 % : un dégouttement ou une sublimation d’acide oxalique dans une ruche contenant du couvain, proportionnellement au % de varroas phorétiques. Réduction limitée lorsque les colonies contiennent du couvain.</x:v>
      </x:c>
      <x:c r="J350" s="508" t="str">
        <x:v>15–45 % : un dégouttement ou une sublimation d’acide oxalique dans une ruche contenant du couvain, proportionnellement au % de varroas phorétiques. Réduction limitée lorsque les colonies contiennent du couvain.</x:v>
      </x:c>
      <x:c r="K350" s="508" t="str">
        <x:v>15–45 % : un dégouttement ou une sublimation d’acide oxalique dans une ruche contenant du couvain, proportionnellement au % de varroas phorétiques. Réduction limitée lorsque les colonies contiennent du couvain.</x:v>
      </x:c>
      <x:c r="L350" s="508" t="str">
        <x:v>15–45 % : un dégouttement ou une sublimation d’acide oxalique dans une ruche contenant du couvain, proportionnellement au % de varroas phorétiques. Réduction limitée lorsque les colonies contiennent du couvain.</x:v>
      </x:c>
      <x:c r="M350" s="508" t="str">
        <x:v>15–45 % : un dégouttement ou une sublimation d’acide oxalique dans une ruche contenant du couvain, proportionnellement au % de varroas phorétiques. Réduction limitée lorsque les colonies contiennent du couvain.</x:v>
      </x:c>
    </x:row>
    <x:row r="351" ht="56.400001525878906" customHeight="1">
      <x:c r="A351" s="498"/>
      <x:c r="B351" s="508" t="str">
        <x:v>85 %, 3 fois : éponges à libération prolongée d’acide oxalique et de glycérine ; pour le résultat final à 45 jours, saisissez 85 % pendant trois périodes consécutives à partir du moment de l’application. Pas encore homologué.</x:v>
      </x:c>
      <x:c r="C351" s="508" t="str">
        <x:v>85 %, 3 fois : éponges à libération prolongée d’acide oxalique et de glycérine ; pour le résultat final à 45 jours, saisissez 85 % pendant trois périodes consécutives à partir du moment de l’application. Pas encore homologué.</x:v>
      </x:c>
      <x:c r="D351" s="508" t="str">
        <x:v>85 %, 3 fois : éponges à libération prolongée d’acide oxalique et de glycérine ; pour le résultat final à 45 jours, saisissez 85 % pendant trois périodes consécutives à partir du moment de l’application. Pas encore homologué.</x:v>
      </x:c>
      <x:c r="E351" s="508" t="str">
        <x:v>85 %, 3 fois : éponges à libération prolongée d’acide oxalique et de glycérine ; pour le résultat final à 45 jours, saisissez 85 % pendant trois périodes consécutives à partir du moment de l’application. Pas encore homologué.</x:v>
      </x:c>
      <x:c r="F351" s="508" t="str">
        <x:v>85 %, 3 fois : éponges à libération prolongée d’acide oxalique et de glycérine ; pour le résultat final à 45 jours, saisissez 85 % pendant trois périodes consécutives à partir du moment de l’application. Pas encore homologué.</x:v>
      </x:c>
      <x:c r="G351" s="508" t="str">
        <x:v>85 %, 3 fois : éponges à libération prolongée d’acide oxalique et de glycérine ; pour le résultat final à 45 jours, saisissez 85 % pendant trois périodes consécutives à partir du moment de l’application. Pas encore homologué.</x:v>
      </x:c>
      <x:c r="H351" s="508" t="str">
        <x:v>85 %, 3 fois : éponges à libération prolongée d’acide oxalique et de glycérine ; pour le résultat final à 45 jours, saisissez 85 % pendant trois périodes consécutives à partir du moment de l’application. Pas encore homologué.</x:v>
      </x:c>
      <x:c r="I351" s="508" t="str">
        <x:v>85 %, 3 fois : éponges à libération prolongée d’acide oxalique et de glycérine ; pour le résultat final à 45 jours, saisissez 85 % pendant trois périodes consécutives à partir du moment de l’application. Pas encore homologué.</x:v>
      </x:c>
      <x:c r="J351" s="508" t="str">
        <x:v>85 %, 3 fois : éponges à libération prolongée d’acide oxalique et de glycérine ; pour le résultat final à 45 jours, saisissez 85 % pendant trois périodes consécutives à partir du moment de l’application. Pas encore homologué.</x:v>
      </x:c>
      <x:c r="K351" s="508" t="str">
        <x:v>85 %, 3 fois : éponges à libération prolongée d’acide oxalique et de glycérine ; pour le résultat final à 45 jours, saisissez 85 % pendant trois périodes consécutives à partir du moment de l’application. Pas encore homologué.</x:v>
      </x:c>
      <x:c r="L351" s="508" t="str">
        <x:v>85 %, 3 fois : éponges à libération prolongée d’acide oxalique et de glycérine ; pour le résultat final à 45 jours, saisissez 85 % pendant trois périodes consécutives à partir du moment de l’application. Pas encore homologué.</x:v>
      </x:c>
      <x:c r="M351" s="508" t="str">
        <x:v>85 %, 3 fois : éponges à libération prolongée d’acide oxalique et de glycérine ; pour le résultat final à 45 jours, saisissez 85 % pendant trois périodes consécutives à partir du moment de l’application. Pas encore homologué.</x:v>
      </x:c>
    </x:row>
    <x:row r="352" ht="41.599998474121094" customHeight="1">
      <x:c r="A352" s="498"/>
      <x:c r="B352" s="508" t="str">
        <x:v>Environ 30 % : émission d’un essaim primaire au printemps. Hypothèses : 80 % des varroas dans le couvain, départ de 70 % des ouvrières, rupture de couvain de 14 jours.</x:v>
      </x:c>
      <x:c r="C352" s="508" t="str">
        <x:v>Environ 30 % : émission d’un essaim primaire au printemps. Hypothèses : 80 % des varroas dans le couvain, départ de 70 % des ouvrières, rupture de couvain de 14 jours.</x:v>
      </x:c>
      <x:c r="D352" s="508" t="str">
        <x:v>Environ 30 % : émission d’un essaim primaire au printemps. Hypothèses : 80 % des varroas dans le couvain, départ de 70 % des ouvrières, rupture de couvain de 14 jours.</x:v>
      </x:c>
      <x:c r="E352" s="508" t="str">
        <x:v>Environ 30 % : émission d’un essaim primaire au printemps. Hypothèses : 80 % des varroas dans le couvain, départ de 70 % des ouvrières, rupture de couvain de 14 jours.</x:v>
      </x:c>
      <x:c r="F352" s="508" t="str">
        <x:v>Environ 30 % : émission d’un essaim primaire au printemps. Hypothèses : 80 % des varroas dans le couvain, départ de 70 % des ouvrières, rupture de couvain de 14 jours.</x:v>
      </x:c>
      <x:c r="G352" s="508" t="str">
        <x:v>Environ 30 % : émission d’un essaim primaire au printemps. Hypothèses : 80 % des varroas dans le couvain, départ de 70 % des ouvrières, rupture de couvain de 14 jours.</x:v>
      </x:c>
      <x:c r="H352" s="508" t="str">
        <x:v>Environ 30 % : émission d’un essaim primaire au printemps. Hypothèses : 80 % des varroas dans le couvain, départ de 70 % des ouvrières, rupture de couvain de 14 jours.</x:v>
      </x:c>
      <x:c r="I352" s="508" t="str">
        <x:v>Environ 30 % : émission d’un essaim primaire au printemps. Hypothèses : 80 % des varroas dans le couvain, départ de 70 % des ouvrières, rupture de couvain de 14 jours.</x:v>
      </x:c>
      <x:c r="J352" s="508" t="str">
        <x:v>Environ 30 % : émission d’un essaim primaire au printemps. Hypothèses : 80 % des varroas dans le couvain, départ de 70 % des ouvrières, rupture de couvain de 14 jours.</x:v>
      </x:c>
      <x:c r="K352" s="508" t="str">
        <x:v>Environ 30 % : émission d’un essaim primaire au printemps. Hypothèses : 80 % des varroas dans le couvain, départ de 70 % des ouvrières, rupture de couvain de 14 jours.</x:v>
      </x:c>
      <x:c r="L352" s="508" t="str">
        <x:v>Environ 30 % : émission d’un essaim primaire au printemps. Hypothèses : 80 % des varroas dans le couvain, départ de 70 % des ouvrières, rupture de couvain de 14 jours.</x:v>
      </x:c>
      <x:c r="M352" s="508" t="str">
        <x:v>Environ 30 % : émission d’un essaim primaire au printemps. Hypothèses : 80 % des varroas dans le couvain, départ de 70 % des ouvrières, rupture de couvain de 14 jours.</x:v>
      </x:c>
    </x:row>
    <x:row r="353" ht="41.599998474121094" customHeight="1">
      <x:c r="A353" s="498"/>
      <x:c r="B353" s="508" t="str">
        <x:v>Environ 50–55 % : rupture de couvain provoquée par le retrait de la reine ou par une division sans introduction de reine (« walkaway split »). On suppose une rupture de couvain de 26 jours.</x:v>
      </x:c>
      <x:c r="C353" s="508" t="str">
        <x:v>Environ 50–55 % : rupture de couvain provoquée par le retrait de la reine ou par une division sans introduction de reine (« walkaway split »). On suppose une rupture de couvain de 26 jours.</x:v>
      </x:c>
      <x:c r="D353" s="508" t="str">
        <x:v>Environ 50–55 % : rupture de couvain provoquée par le retrait de la reine ou par une division sans introduction de reine (« walkaway split »). On suppose une rupture de couvain de 26 jours.</x:v>
      </x:c>
      <x:c r="E353" s="508" t="str">
        <x:v>Environ 50–55 % : rupture de couvain provoquée par le retrait de la reine ou par une division sans introduction de reine (« walkaway split »). On suppose une rupture de couvain de 26 jours.</x:v>
      </x:c>
      <x:c r="F353" s="508" t="str">
        <x:v>Environ 50–55 % : rupture de couvain provoquée par le retrait de la reine ou par une division sans introduction de reine (« walkaway split »). On suppose une rupture de couvain de 26 jours.</x:v>
      </x:c>
      <x:c r="G353" s="508" t="str">
        <x:v>Environ 50–55 % : rupture de couvain provoquée par le retrait de la reine ou par une division sans introduction de reine (« walkaway split »). On suppose une rupture de couvain de 26 jours.</x:v>
      </x:c>
      <x:c r="H353" s="508" t="str">
        <x:v>Environ 50–55 % : rupture de couvain provoquée par le retrait de la reine ou par une division sans introduction de reine (« walkaway split »). On suppose une rupture de couvain de 26 jours.</x:v>
      </x:c>
      <x:c r="I353" s="508" t="str">
        <x:v>Environ 50–55 % : rupture de couvain provoquée par le retrait de la reine ou par une division sans introduction de reine (« walkaway split »). On suppose une rupture de couvain de 26 jours.</x:v>
      </x:c>
      <x:c r="J353" s="508" t="str">
        <x:v>Environ 50–55 % : rupture de couvain provoquée par le retrait de la reine ou par une division sans introduction de reine (« walkaway split »). On suppose une rupture de couvain de 26 jours.</x:v>
      </x:c>
      <x:c r="K353" s="508" t="str">
        <x:v>Environ 50–55 % : rupture de couvain provoquée par le retrait de la reine ou par une division sans introduction de reine (« walkaway split »). On suppose une rupture de couvain de 26 jours.</x:v>
      </x:c>
      <x:c r="L353" s="508" t="str">
        <x:v>Environ 50–55 % : rupture de couvain provoquée par le retrait de la reine ou par une division sans introduction de reine (« walkaway split »). On suppose une rupture de couvain de 26 jours.</x:v>
      </x:c>
      <x:c r="M353" s="508" t="str">
        <x:v>Environ 50–55 % : rupture de couvain provoquée par le retrait de la reine ou par une division sans introduction de reine (« walkaway split »). On suppose une rupture de couvain de 26 jours.</x:v>
      </x:c>
    </x:row>
    <x:row r="354" ht="18" customHeight="1">
      <x:c r="A354" s="498"/>
      <x:c r="B354" s="498"/>
      <x:c r="C354" s="498"/>
      <x:c r="D354" s="498"/>
      <x:c r="E354" s="498"/>
      <x:c r="F354" s="498"/>
      <x:c r="G354" s="498"/>
      <x:c r="H354" s="498"/>
      <x:c r="I354" s="498"/>
      <x:c r="J354" s="498"/>
      <x:c r="K354" s="498"/>
      <x:c r="L354" s="498"/>
      <x:c r="M354" s="498"/>
    </x:row>
    <x:row r="355" ht="18" customHeight="1">
      <x:c r="A355" s="498"/>
      <x:c r="B355" s="498"/>
      <x:c r="C355" s="498"/>
      <x:c r="D355" s="498"/>
      <x:c r="E355" s="498"/>
      <x:c r="F355" s="498"/>
      <x:c r="G355" s="498"/>
      <x:c r="H355" s="498"/>
      <x:c r="I355" s="498"/>
      <x:c r="J355" s="498"/>
      <x:c r="K355" s="498"/>
      <x:c r="L355" s="498"/>
      <x:c r="M355" s="498"/>
    </x:row>
    <x:row r="356" ht="18" customHeight="1">
      <x:c r="A356" s="498"/>
      <x:c r="B356" s="525" t="str">
        <x:v>Densité ajustée</x:v>
      </x:c>
      <x:c r="C356" s="525" t="str">
        <x:v>Densité ajustée</x:v>
      </x:c>
      <x:c r="D356" s="525" t="str">
        <x:v>Densité ajustée</x:v>
      </x:c>
      <x:c r="E356" s="525" t="str">
        <x:v>Densité ajustée</x:v>
      </x:c>
      <x:c r="F356" s="525" t="str">
        <x:v>Densité ajustée</x:v>
      </x:c>
      <x:c r="G356" s="525" t="str">
        <x:v>Densité ajustée</x:v>
      </x:c>
      <x:c r="H356" s="525" t="str">
        <x:v>Densité ajustée</x:v>
      </x:c>
      <x:c r="I356" s="525" t="str">
        <x:v>Densité ajustée</x:v>
      </x:c>
      <x:c r="J356" s="525" t="str">
        <x:v>Densité ajustée</x:v>
      </x:c>
      <x:c r="K356" s="525" t="str">
        <x:v>Densité ajustée</x:v>
      </x:c>
      <x:c r="L356" s="525" t="str">
        <x:v>Densité ajustée</x:v>
      </x:c>
      <x:c r="M356" s="525" t="str">
        <x:v>Densité ajustée</x:v>
      </x:c>
    </x:row>
    <x:row r="357" ht="18" customHeight="1">
      <x:c r="A357" s="498"/>
      <x:c r="B357" s="525" t="str">
        <x:v>Densité ajustée</x:v>
      </x:c>
      <x:c r="C357" s="525" t="str">
        <x:v>Densité ajustée</x:v>
      </x:c>
      <x:c r="D357" s="525" t="str">
        <x:v>Densité ajustée</x:v>
      </x:c>
      <x:c r="E357" s="525" t="str">
        <x:v>Densité ajustée</x:v>
      </x:c>
      <x:c r="F357" s="525" t="str">
        <x:v>Densité ajustée</x:v>
      </x:c>
      <x:c r="G357" s="525" t="str">
        <x:v>Densité ajustée</x:v>
      </x:c>
      <x:c r="H357" s="525" t="str">
        <x:v>Densité ajustée</x:v>
      </x:c>
      <x:c r="I357" s="525" t="str">
        <x:v>Densité ajustée</x:v>
      </x:c>
      <x:c r="J357" s="525" t="str">
        <x:v>Densité ajustée</x:v>
      </x:c>
      <x:c r="K357" s="525" t="str">
        <x:v>Densité ajustée</x:v>
      </x:c>
      <x:c r="L357" s="525" t="str">
        <x:v>Densité ajustée</x:v>
      </x:c>
      <x:c r="M357" s="525" t="str">
        <x:v>Densité ajustée</x:v>
      </x:c>
    </x:row>
    <x:row r="358" ht="18" customHeight="1">
      <x:c r="A358" s="498"/>
      <x:c r="B358" s="498"/>
      <x:c r="C358" s="498"/>
      <x:c r="D358" s="498"/>
      <x:c r="E358" s="498"/>
      <x:c r="F358" s="498"/>
      <x:c r="G358" s="498"/>
      <x:c r="H358" s="498"/>
      <x:c r="I358" s="498"/>
      <x:c r="J358" s="498"/>
      <x:c r="K358" s="498"/>
      <x:c r="L358" s="498"/>
      <x:c r="M358" s="498"/>
    </x:row>
    <x:row r="359" ht="18" customHeight="1">
      <x:c r="A359" s="498"/>
      <x:c r="B359" s="529" t="str">
        <x:v>Explication de Randy Oliver · H4</x:v>
      </x:c>
      <x:c r="C359" s="529" t="str">
        <x:v>Explication de Randy Oliver · H4</x:v>
      </x:c>
      <x:c r="D359" s="529" t="str">
        <x:v>Explication de Randy Oliver · H4</x:v>
      </x:c>
      <x:c r="E359" s="529" t="str">
        <x:v>Explication de Randy Oliver · H4</x:v>
      </x:c>
      <x:c r="F359" s="529" t="str">
        <x:v>Explication de Randy Oliver · H4</x:v>
      </x:c>
      <x:c r="G359" s="529" t="str">
        <x:v>Explication de Randy Oliver · H4</x:v>
      </x:c>
      <x:c r="H359" s="529" t="str">
        <x:v>Explication de Randy Oliver · H4</x:v>
      </x:c>
      <x:c r="I359" s="529" t="str">
        <x:v>Explication de Randy Oliver · H4</x:v>
      </x:c>
      <x:c r="J359" s="529" t="str">
        <x:v>Explication de Randy Oliver · H4</x:v>
      </x:c>
      <x:c r="K359" s="529" t="str">
        <x:v>Explication de Randy Oliver · H4</x:v>
      </x:c>
      <x:c r="L359" s="529" t="str">
        <x:v>Explication de Randy Oliver · H4</x:v>
      </x:c>
      <x:c r="M359" s="529" t="str">
        <x:v>Explication de Randy Oliver · H4</x:v>
      </x:c>
    </x:row>
    <x:row r="360" ht="31" customHeight="1">
      <x:c r="A360" s="498"/>
      <x:c r="B360" s="508" t="str">
        <x:v>Dans cette version, je remets en question mes estimations de la population d’ouvrières de la colonie</x:v>
      </x:c>
      <x:c r="C360" s="508" t="str">
        <x:v>Dans cette version, je remets en question mes estimations de la population d’ouvrières de la colonie</x:v>
      </x:c>
      <x:c r="D360" s="508" t="str">
        <x:v>Dans cette version, je remets en question mes estimations de la population d’ouvrières de la colonie</x:v>
      </x:c>
      <x:c r="E360" s="508" t="str">
        <x:v>Dans cette version, je remets en question mes estimations de la population d’ouvrières de la colonie</x:v>
      </x:c>
      <x:c r="F360" s="508" t="str">
        <x:v>Dans cette version, je remets en question mes estimations de la population d’ouvrières de la colonie</x:v>
      </x:c>
      <x:c r="G360" s="508" t="str">
        <x:v>Dans cette version, je remets en question mes estimations de la population d’ouvrières de la colonie</x:v>
      </x:c>
      <x:c r="H360" s="508" t="str">
        <x:v>Dans cette version, je remets en question mes estimations de la population d’ouvrières de la colonie</x:v>
      </x:c>
      <x:c r="I360" s="508" t="str">
        <x:v>Dans cette version, je remets en question mes estimations de la population d’ouvrières de la colonie</x:v>
      </x:c>
      <x:c r="J360" s="508" t="str">
        <x:v>Dans cette version, je remets en question mes estimations de la population d’ouvrières de la colonie</x:v>
      </x:c>
      <x:c r="K360" s="508" t="str">
        <x:v>Dans cette version, je remets en question mes estimations de la population d’ouvrières de la colonie</x:v>
      </x:c>
      <x:c r="L360" s="508" t="str">
        <x:v>Dans cette version, je remets en question mes estimations de la population d’ouvrières de la colonie</x:v>
      </x:c>
      <x:c r="M360" s="508" t="str">
        <x:v>Dans cette version, je remets en question mes estimations de la population d’ouvrières de la colonie</x:v>
      </x:c>
    </x:row>
    <x:row r="361" ht="31" customHeight="1">
      <x:c r="A361" s="498"/>
      <x:c r="B361" s="508" t="str">
        <x:v>(fondées sur l’hypothèse de 2000 abeilles </x:v>
      </x:c>
      <x:c r="C361" s="508" t="str">
        <x:v>(fondées sur l’hypothèse de 2000 abeilles </x:v>
      </x:c>
      <x:c r="D361" s="508" t="str">
        <x:v>(fondées sur l’hypothèse de 2000 abeilles </x:v>
      </x:c>
      <x:c r="E361" s="508" t="str">
        <x:v>(fondées sur l’hypothèse de 2000 abeilles </x:v>
      </x:c>
      <x:c r="F361" s="508" t="str">
        <x:v>(fondées sur l’hypothèse de 2000 abeilles </x:v>
      </x:c>
      <x:c r="G361" s="508" t="str">
        <x:v>(fondées sur l’hypothèse de 2000 abeilles </x:v>
      </x:c>
      <x:c r="H361" s="508" t="str">
        <x:v>(fondées sur l’hypothèse de 2000 abeilles </x:v>
      </x:c>
      <x:c r="I361" s="508" t="str">
        <x:v>(fondées sur l’hypothèse de 2000 abeilles </x:v>
      </x:c>
      <x:c r="J361" s="508" t="str">
        <x:v>(fondées sur l’hypothèse de 2000 abeilles </x:v>
      </x:c>
      <x:c r="K361" s="508" t="str">
        <x:v>(fondées sur l’hypothèse de 2000 abeilles </x:v>
      </x:c>
      <x:c r="L361" s="508" t="str">
        <x:v>(fondées sur l’hypothèse de 2000 abeilles </x:v>
      </x:c>
      <x:c r="M361" s="508" t="str">
        <x:v>(fondées sur l’hypothèse de 2000 abeilles </x:v>
      </x:c>
    </x:row>
    <x:row r="362" ht="31" customHeight="1">
      <x:c r="A362" s="498"/>
      <x:c r="B362" s="508" t="str">
        <x:v>par rayon). Par temps chaud, mes propres comptages ne donnent que</x:v>
      </x:c>
      <x:c r="C362" s="508" t="str">
        <x:v>par rayon). Par temps chaud, mes propres comptages ne donnent que</x:v>
      </x:c>
      <x:c r="D362" s="508" t="str">
        <x:v>par rayon). Par temps chaud, mes propres comptages ne donnent que</x:v>
      </x:c>
      <x:c r="E362" s="508" t="str">
        <x:v>par rayon). Par temps chaud, mes propres comptages ne donnent que</x:v>
      </x:c>
      <x:c r="F362" s="508" t="str">
        <x:v>par rayon). Par temps chaud, mes propres comptages ne donnent que</x:v>
      </x:c>
      <x:c r="G362" s="508" t="str">
        <x:v>par rayon). Par temps chaud, mes propres comptages ne donnent que</x:v>
      </x:c>
      <x:c r="H362" s="508" t="str">
        <x:v>par rayon). Par temps chaud, mes propres comptages ne donnent que</x:v>
      </x:c>
      <x:c r="I362" s="508" t="str">
        <x:v>par rayon). Par temps chaud, mes propres comptages ne donnent que</x:v>
      </x:c>
      <x:c r="J362" s="508" t="str">
        <x:v>par rayon). Par temps chaud, mes propres comptages ne donnent que</x:v>
      </x:c>
      <x:c r="K362" s="508" t="str">
        <x:v>par rayon). Par temps chaud, mes propres comptages ne donnent que</x:v>
      </x:c>
      <x:c r="L362" s="508" t="str">
        <x:v>par rayon). Par temps chaud, mes propres comptages ne donnent que</x:v>
      </x:c>
      <x:c r="M362" s="508" t="str">
        <x:v>par rayon). Par temps chaud, mes propres comptages ne donnent que</x:v>
      </x:c>
    </x:row>
    <x:row r="363" ht="31" customHeight="1">
      <x:c r="A363" s="498"/>
      <x:c r="B363" s="508" t="str">
        <x:v>environ 1 000 abeilles par rayon.</x:v>
      </x:c>
      <x:c r="C363" s="508" t="str">
        <x:v>environ 1 000 abeilles par rayon.</x:v>
      </x:c>
      <x:c r="D363" s="508" t="str">
        <x:v>environ 1 000 abeilles par rayon.</x:v>
      </x:c>
      <x:c r="E363" s="508" t="str">
        <x:v>environ 1 000 abeilles par rayon.</x:v>
      </x:c>
      <x:c r="F363" s="508" t="str">
        <x:v>environ 1 000 abeilles par rayon.</x:v>
      </x:c>
      <x:c r="G363" s="508" t="str">
        <x:v>environ 1 000 abeilles par rayon.</x:v>
      </x:c>
      <x:c r="H363" s="508" t="str">
        <x:v>environ 1 000 abeilles par rayon.</x:v>
      </x:c>
      <x:c r="I363" s="508" t="str">
        <x:v>environ 1 000 abeilles par rayon.</x:v>
      </x:c>
      <x:c r="J363" s="508" t="str">
        <x:v>environ 1 000 abeilles par rayon.</x:v>
      </x:c>
      <x:c r="K363" s="508" t="str">
        <x:v>environ 1 000 abeilles par rayon.</x:v>
      </x:c>
      <x:c r="L363" s="508" t="str">
        <x:v>environ 1 000 abeilles par rayon.</x:v>
      </x:c>
      <x:c r="M363" s="508" t="str">
        <x:v>environ 1 000 abeilles par rayon.</x:v>
      </x:c>
    </x:row>
    <x:row r="364" ht="18" customHeight="1">
      <x:c r="A364" s="498"/>
      <x:c r="B364" s="498"/>
      <x:c r="C364" s="498"/>
      <x:c r="D364" s="498"/>
      <x:c r="E364" s="498"/>
      <x:c r="F364" s="498"/>
      <x:c r="G364" s="498"/>
      <x:c r="H364" s="498"/>
      <x:c r="I364" s="498"/>
      <x:c r="J364" s="498"/>
      <x:c r="K364" s="498"/>
      <x:c r="L364" s="498"/>
      <x:c r="M364" s="498"/>
    </x:row>
    <x:row r="365" ht="18" customHeight="1">
      <x:c r="A365" s="498"/>
      <x:c r="B365" s="498"/>
      <x:c r="C365" s="498"/>
      <x:c r="D365" s="498"/>
      <x:c r="E365" s="498"/>
      <x:c r="F365" s="498"/>
      <x:c r="G365" s="498"/>
      <x:c r="H365" s="498"/>
      <x:c r="I365" s="498"/>
      <x:c r="J365" s="498"/>
      <x:c r="K365" s="498"/>
      <x:c r="L365" s="498"/>
      <x:c r="M365" s="498"/>
    </x:row>
    <x:row r="366" ht="18" customHeight="1">
      <x:c r="A366" s="498"/>
      <x:c r="B366" s="525" t="str">
        <x:v>Profils de colonie</x:v>
      </x:c>
      <x:c r="C366" s="525" t="str">
        <x:v>Profils de colonie</x:v>
      </x:c>
      <x:c r="D366" s="525" t="str">
        <x:v>Profils de colonie</x:v>
      </x:c>
      <x:c r="E366" s="525" t="str">
        <x:v>Profils de colonie</x:v>
      </x:c>
      <x:c r="F366" s="525" t="str">
        <x:v>Profils de colonie</x:v>
      </x:c>
      <x:c r="G366" s="525" t="str">
        <x:v>Profils de colonie</x:v>
      </x:c>
      <x:c r="H366" s="525" t="str">
        <x:v>Profils de colonie</x:v>
      </x:c>
      <x:c r="I366" s="525" t="str">
        <x:v>Profils de colonie</x:v>
      </x:c>
      <x:c r="J366" s="525" t="str">
        <x:v>Profils de colonie</x:v>
      </x:c>
      <x:c r="K366" s="525" t="str">
        <x:v>Profils de colonie</x:v>
      </x:c>
      <x:c r="L366" s="525" t="str">
        <x:v>Profils de colonie</x:v>
      </x:c>
      <x:c r="M366" s="525" t="str">
        <x:v>Profils de colonie</x:v>
      </x:c>
    </x:row>
    <x:row r="367" ht="18" customHeight="1">
      <x:c r="A367" s="498"/>
      <x:c r="B367" s="525" t="str">
        <x:v>Profils de colonie</x:v>
      </x:c>
      <x:c r="C367" s="525" t="str">
        <x:v>Profils de colonie</x:v>
      </x:c>
      <x:c r="D367" s="525" t="str">
        <x:v>Profils de colonie</x:v>
      </x:c>
      <x:c r="E367" s="525" t="str">
        <x:v>Profils de colonie</x:v>
      </x:c>
      <x:c r="F367" s="525" t="str">
        <x:v>Profils de colonie</x:v>
      </x:c>
      <x:c r="G367" s="525" t="str">
        <x:v>Profils de colonie</x:v>
      </x:c>
      <x:c r="H367" s="525" t="str">
        <x:v>Profils de colonie</x:v>
      </x:c>
      <x:c r="I367" s="525" t="str">
        <x:v>Profils de colonie</x:v>
      </x:c>
      <x:c r="J367" s="525" t="str">
        <x:v>Profils de colonie</x:v>
      </x:c>
      <x:c r="K367" s="525" t="str">
        <x:v>Profils de colonie</x:v>
      </x:c>
      <x:c r="L367" s="525" t="str">
        <x:v>Profils de colonie</x:v>
      </x:c>
      <x:c r="M367" s="525" t="str">
        <x:v>Profils de colonie</x:v>
      </x:c>
    </x:row>
    <x:row r="368" ht="18" customHeight="1">
      <x:c r="A368" s="498"/>
      <x:c r="B368" s="498"/>
      <x:c r="C368" s="498"/>
      <x:c r="D368" s="498"/>
      <x:c r="E368" s="498"/>
      <x:c r="F368" s="498"/>
      <x:c r="G368" s="498"/>
      <x:c r="H368" s="498"/>
      <x:c r="I368" s="498"/>
      <x:c r="J368" s="498"/>
      <x:c r="K368" s="498"/>
      <x:c r="L368" s="498"/>
      <x:c r="M368" s="498"/>
    </x:row>
    <x:row r="369" ht="18" customHeight="1">
      <x:c r="A369" s="498"/>
      <x:c r="B369" s="529" t="str">
        <x:v>Explication de Randy Oliver · B167</x:v>
      </x:c>
      <x:c r="C369" s="529" t="str">
        <x:v>Explication de Randy Oliver · B167</x:v>
      </x:c>
      <x:c r="D369" s="529" t="str">
        <x:v>Explication de Randy Oliver · B167</x:v>
      </x:c>
      <x:c r="E369" s="529" t="str">
        <x:v>Explication de Randy Oliver · B167</x:v>
      </x:c>
      <x:c r="F369" s="529" t="str">
        <x:v>Explication de Randy Oliver · B167</x:v>
      </x:c>
      <x:c r="G369" s="529" t="str">
        <x:v>Explication de Randy Oliver · B167</x:v>
      </x:c>
      <x:c r="H369" s="529" t="str">
        <x:v>Explication de Randy Oliver · B167</x:v>
      </x:c>
      <x:c r="I369" s="529" t="str">
        <x:v>Explication de Randy Oliver · B167</x:v>
      </x:c>
      <x:c r="J369" s="529" t="str">
        <x:v>Explication de Randy Oliver · B167</x:v>
      </x:c>
      <x:c r="K369" s="529" t="str">
        <x:v>Explication de Randy Oliver · B167</x:v>
      </x:c>
      <x:c r="L369" s="529" t="str">
        <x:v>Explication de Randy Oliver · B167</x:v>
      </x:c>
      <x:c r="M369" s="529" t="str">
        <x:v>Explication de Randy Oliver · B167</x:v>
      </x:c>
    </x:row>
    <x:row r="370" ht="31" customHeight="1">
      <x:c r="A370" s="498"/>
      <x:c r="B370" s="508" t="str">
        <x:v>Merci à Andrew Munn, du Manitoba, pour l’ajustement des nombres d’abeilles et de cellules de couvain.</x:v>
      </x:c>
      <x:c r="C370" s="508" t="str">
        <x:v>Merci à Andrew Munn, du Manitoba, pour l’ajustement des nombres d’abeilles et de cellules de couvain.</x:v>
      </x:c>
      <x:c r="D370" s="508" t="str">
        <x:v>Merci à Andrew Munn, du Manitoba, pour l’ajustement des nombres d’abeilles et de cellules de couvain.</x:v>
      </x:c>
      <x:c r="E370" s="508" t="str">
        <x:v>Merci à Andrew Munn, du Manitoba, pour l’ajustement des nombres d’abeilles et de cellules de couvain.</x:v>
      </x:c>
      <x:c r="F370" s="508" t="str">
        <x:v>Merci à Andrew Munn, du Manitoba, pour l’ajustement des nombres d’abeilles et de cellules de couvain.</x:v>
      </x:c>
      <x:c r="G370" s="508" t="str">
        <x:v>Merci à Andrew Munn, du Manitoba, pour l’ajustement des nombres d’abeilles et de cellules de couvain.</x:v>
      </x:c>
      <x:c r="H370" s="508" t="str">
        <x:v>Merci à Andrew Munn, du Manitoba, pour l’ajustement des nombres d’abeilles et de cellules de couvain.</x:v>
      </x:c>
      <x:c r="I370" s="508" t="str">
        <x:v>Merci à Andrew Munn, du Manitoba, pour l’ajustement des nombres d’abeilles et de cellules de couvain.</x:v>
      </x:c>
      <x:c r="J370" s="508" t="str">
        <x:v>Merci à Andrew Munn, du Manitoba, pour l’ajustement des nombres d’abeilles et de cellules de couvain.</x:v>
      </x:c>
      <x:c r="K370" s="508" t="str">
        <x:v>Merci à Andrew Munn, du Manitoba, pour l’ajustement des nombres d’abeilles et de cellules de couvain.</x:v>
      </x:c>
      <x:c r="L370" s="508" t="str">
        <x:v>Merci à Andrew Munn, du Manitoba, pour l’ajustement des nombres d’abeilles et de cellules de couvain.</x:v>
      </x:c>
      <x:c r="M370" s="508" t="str">
        <x:v>Merci à Andrew Munn, du Manitoba, pour l’ajustement des nombres d’abeilles et de cellules de couvain.</x:v>
      </x:c>
    </x:row>
    <x:row r="371" ht="18" customHeight="1">
      <x:c r="A371" s="498"/>
      <x:c r="B371" s="498"/>
      <x:c r="C371" s="498"/>
      <x:c r="D371" s="498"/>
      <x:c r="E371" s="498"/>
      <x:c r="F371" s="498"/>
      <x:c r="G371" s="498"/>
      <x:c r="H371" s="498"/>
      <x:c r="I371" s="498"/>
      <x:c r="J371" s="498"/>
      <x:c r="K371" s="498"/>
      <x:c r="L371" s="498"/>
      <x:c r="M371" s="498"/>
    </x:row>
    <x:row r="372" ht="18" customHeight="1">
      <x:c r="A372" s="498"/>
      <x:c r="B372" s="529" t="str">
        <x:v>Explication de Randy Oliver · B139</x:v>
      </x:c>
      <x:c r="C372" s="529" t="str">
        <x:v>Explication de Randy Oliver · B139</x:v>
      </x:c>
      <x:c r="D372" s="529" t="str">
        <x:v>Explication de Randy Oliver · B139</x:v>
      </x:c>
      <x:c r="E372" s="529" t="str">
        <x:v>Explication de Randy Oliver · B139</x:v>
      </x:c>
      <x:c r="F372" s="529" t="str">
        <x:v>Explication de Randy Oliver · B139</x:v>
      </x:c>
      <x:c r="G372" s="529" t="str">
        <x:v>Explication de Randy Oliver · B139</x:v>
      </x:c>
      <x:c r="H372" s="529" t="str">
        <x:v>Explication de Randy Oliver · B139</x:v>
      </x:c>
      <x:c r="I372" s="529" t="str">
        <x:v>Explication de Randy Oliver · B139</x:v>
      </x:c>
      <x:c r="J372" s="529" t="str">
        <x:v>Explication de Randy Oliver · B139</x:v>
      </x:c>
      <x:c r="K372" s="529" t="str">
        <x:v>Explication de Randy Oliver · B139</x:v>
      </x:c>
      <x:c r="L372" s="529" t="str">
        <x:v>Explication de Randy Oliver · B139</x:v>
      </x:c>
      <x:c r="M372" s="529" t="str">
        <x:v>Explication de Randy Oliver · B139</x:v>
      </x:c>
    </x:row>
    <x:row r="373" ht="31" customHeight="1">
      <x:c r="A373" s="498"/>
      <x:c r="B373" s="508" t="str">
        <x:v>Merci à Rob Stone, du comté d’Orange en Californie, pour les données d’abeilles et de couvain.</x:v>
      </x:c>
      <x:c r="C373" s="508" t="str">
        <x:v>Merci à Rob Stone, du comté d’Orange en Californie, pour les données d’abeilles et de couvain.</x:v>
      </x:c>
      <x:c r="D373" s="508" t="str">
        <x:v>Merci à Rob Stone, du comté d’Orange en Californie, pour les données d’abeilles et de couvain.</x:v>
      </x:c>
      <x:c r="E373" s="508" t="str">
        <x:v>Merci à Rob Stone, du comté d’Orange en Californie, pour les données d’abeilles et de couvain.</x:v>
      </x:c>
      <x:c r="F373" s="508" t="str">
        <x:v>Merci à Rob Stone, du comté d’Orange en Californie, pour les données d’abeilles et de couvain.</x:v>
      </x:c>
      <x:c r="G373" s="508" t="str">
        <x:v>Merci à Rob Stone, du comté d’Orange en Californie, pour les données d’abeilles et de couvain.</x:v>
      </x:c>
      <x:c r="H373" s="508" t="str">
        <x:v>Merci à Rob Stone, du comté d’Orange en Californie, pour les données d’abeilles et de couvain.</x:v>
      </x:c>
      <x:c r="I373" s="508" t="str">
        <x:v>Merci à Rob Stone, du comté d’Orange en Californie, pour les données d’abeilles et de couvain.</x:v>
      </x:c>
      <x:c r="J373" s="508" t="str">
        <x:v>Merci à Rob Stone, du comté d’Orange en Californie, pour les données d’abeilles et de couvain.</x:v>
      </x:c>
      <x:c r="K373" s="508" t="str">
        <x:v>Merci à Rob Stone, du comté d’Orange en Californie, pour les données d’abeilles et de couvain.</x:v>
      </x:c>
      <x:c r="L373" s="508" t="str">
        <x:v>Merci à Rob Stone, du comté d’Orange en Californie, pour les données d’abeilles et de couvain.</x:v>
      </x:c>
      <x:c r="M373" s="508" t="str">
        <x:v>Merci à Rob Stone, du comté d’Orange en Californie, pour les données d’abeilles et de couvain.</x:v>
      </x:c>
    </x:row>
    <x:row r="374" ht="18" customHeight="1">
      <x:c r="A374" s="498"/>
      <x:c r="B374" s="498"/>
      <x:c r="C374" s="498"/>
      <x:c r="D374" s="498"/>
      <x:c r="E374" s="498"/>
      <x:c r="F374" s="498"/>
      <x:c r="G374" s="498"/>
      <x:c r="H374" s="498"/>
      <x:c r="I374" s="498"/>
      <x:c r="J374" s="498"/>
      <x:c r="K374" s="498"/>
      <x:c r="L374" s="498"/>
      <x:c r="M374" s="498"/>
    </x:row>
    <x:row r="375" ht="18" customHeight="1">
      <x:c r="A375" s="498"/>
      <x:c r="B375" s="529" t="str">
        <x:v>Texte de la feuille · D6</x:v>
      </x:c>
      <x:c r="C375" s="529" t="str">
        <x:v>Texte de la feuille · D6</x:v>
      </x:c>
      <x:c r="D375" s="529" t="str">
        <x:v>Texte de la feuille · D6</x:v>
      </x:c>
      <x:c r="E375" s="529" t="str">
        <x:v>Texte de la feuille · D6</x:v>
      </x:c>
      <x:c r="F375" s="529" t="str">
        <x:v>Texte de la feuille · D6</x:v>
      </x:c>
      <x:c r="G375" s="529" t="str">
        <x:v>Texte de la feuille · D6</x:v>
      </x:c>
      <x:c r="H375" s="529" t="str">
        <x:v>Texte de la feuille · D6</x:v>
      </x:c>
      <x:c r="I375" s="529" t="str">
        <x:v>Texte de la feuille · D6</x:v>
      </x:c>
      <x:c r="J375" s="529" t="str">
        <x:v>Texte de la feuille · D6</x:v>
      </x:c>
      <x:c r="K375" s="529" t="str">
        <x:v>Texte de la feuille · D6</x:v>
      </x:c>
      <x:c r="L375" s="529" t="str">
        <x:v>Texte de la feuille · D6</x:v>
      </x:c>
      <x:c r="M375" s="529" t="str">
        <x:v>Texte de la feuille · D6</x:v>
      </x:c>
    </x:row>
    <x:row r="376" ht="41.599998474121094" customHeight="1">
      <x:c r="A376" s="498"/>
      <x:c r="B376" s="508" t="str">
        <x:v>Départ avec un paquet d’abeilles d’environ 1,36 kg (3 lb dans l’original) ; le nombre initial de varroas se situe généralement entre 12 et 600 : saisissez cette valeur sur la page d’accueil</x:v>
      </x:c>
      <x:c r="C376" s="508" t="str">
        <x:v>Départ avec un paquet d’abeilles d’environ 1,36 kg (3 lb dans l’original) ; le nombre initial de varroas se situe généralement entre 12 et 600 : saisissez cette valeur sur la page d’accueil</x:v>
      </x:c>
      <x:c r="D376" s="508" t="str">
        <x:v>Départ avec un paquet d’abeilles d’environ 1,36 kg (3 lb dans l’original) ; le nombre initial de varroas se situe généralement entre 12 et 600 : saisissez cette valeur sur la page d’accueil</x:v>
      </x:c>
      <x:c r="E376" s="508" t="str">
        <x:v>Départ avec un paquet d’abeilles d’environ 1,36 kg (3 lb dans l’original) ; le nombre initial de varroas se situe généralement entre 12 et 600 : saisissez cette valeur sur la page d’accueil</x:v>
      </x:c>
      <x:c r="F376" s="508" t="str">
        <x:v>Départ avec un paquet d’abeilles d’environ 1,36 kg (3 lb dans l’original) ; le nombre initial de varroas se situe généralement entre 12 et 600 : saisissez cette valeur sur la page d’accueil</x:v>
      </x:c>
      <x:c r="G376" s="508" t="str">
        <x:v>Départ avec un paquet d’abeilles d’environ 1,36 kg (3 lb dans l’original) ; le nombre initial de varroas se situe généralement entre 12 et 600 : saisissez cette valeur sur la page d’accueil</x:v>
      </x:c>
      <x:c r="H376" s="508" t="str">
        <x:v>Départ avec un paquet d’abeilles d’environ 1,36 kg (3 lb dans l’original) ; le nombre initial de varroas se situe généralement entre 12 et 600 : saisissez cette valeur sur la page d’accueil</x:v>
      </x:c>
      <x:c r="I376" s="508" t="str">
        <x:v>Départ avec un paquet d’abeilles d’environ 1,36 kg (3 lb dans l’original) ; le nombre initial de varroas se situe généralement entre 12 et 600 : saisissez cette valeur sur la page d’accueil</x:v>
      </x:c>
      <x:c r="J376" s="508" t="str">
        <x:v>Départ avec un paquet d’abeilles d’environ 1,36 kg (3 lb dans l’original) ; le nombre initial de varroas se situe généralement entre 12 et 600 : saisissez cette valeur sur la page d’accueil</x:v>
      </x:c>
      <x:c r="K376" s="508" t="str">
        <x:v>Départ avec un paquet d’abeilles d’environ 1,36 kg (3 lb dans l’original) ; le nombre initial de varroas se situe généralement entre 12 et 600 : saisissez cette valeur sur la page d’accueil</x:v>
      </x:c>
      <x:c r="L376" s="508" t="str">
        <x:v>Départ avec un paquet d’abeilles d’environ 1,36 kg (3 lb dans l’original) ; le nombre initial de varroas se situe généralement entre 12 et 600 : saisissez cette valeur sur la page d’accueil</x:v>
      </x:c>
      <x:c r="M376" s="508" t="str">
        <x:v>Départ avec un paquet d’abeilles d’environ 1,36 kg (3 lb dans l’original) ; le nombre initial de varroas se situe généralement entre 12 et 600 : saisissez cette valeur sur la page d’accueil</x:v>
      </x:c>
    </x:row>
    <x:row r="377" ht="18" customHeight="1">
      <x:c r="A377" s="498"/>
      <x:c r="B377" s="498"/>
      <x:c r="C377" s="498"/>
      <x:c r="D377" s="498"/>
      <x:c r="E377" s="498"/>
      <x:c r="F377" s="498"/>
      <x:c r="G377" s="498"/>
      <x:c r="H377" s="498"/>
      <x:c r="I377" s="498"/>
      <x:c r="J377" s="498"/>
      <x:c r="K377" s="498"/>
      <x:c r="L377" s="498"/>
      <x:c r="M377" s="498"/>
    </x:row>
    <x:row r="378" ht="18" customHeight="1">
      <x:c r="A378" s="498"/>
      <x:c r="B378" s="529" t="str">
        <x:v>Texte de la feuille · D9</x:v>
      </x:c>
      <x:c r="C378" s="529" t="str">
        <x:v>Texte de la feuille · D9</x:v>
      </x:c>
      <x:c r="D378" s="529" t="str">
        <x:v>Texte de la feuille · D9</x:v>
      </x:c>
      <x:c r="E378" s="529" t="str">
        <x:v>Texte de la feuille · D9</x:v>
      </x:c>
      <x:c r="F378" s="529" t="str">
        <x:v>Texte de la feuille · D9</x:v>
      </x:c>
      <x:c r="G378" s="529" t="str">
        <x:v>Texte de la feuille · D9</x:v>
      </x:c>
      <x:c r="H378" s="529" t="str">
        <x:v>Texte de la feuille · D9</x:v>
      </x:c>
      <x:c r="I378" s="529" t="str">
        <x:v>Texte de la feuille · D9</x:v>
      </x:c>
      <x:c r="J378" s="529" t="str">
        <x:v>Texte de la feuille · D9</x:v>
      </x:c>
      <x:c r="K378" s="529" t="str">
        <x:v>Texte de la feuille · D9</x:v>
      </x:c>
      <x:c r="L378" s="529" t="str">
        <x:v>Texte de la feuille · D9</x:v>
      </x:c>
      <x:c r="M378" s="529" t="str">
        <x:v>Texte de la feuille · D9</x:v>
      </x:c>
    </x:row>
    <x:row r="379" ht="56.400001525878906" customHeight="1">
      <x:c r="A379" s="498"/>
      <x:c r="B379" s="508" t="str">
        <x:v>Colonie de pollinisation des amandiers de Californie, conduite pour atteindre 8 cadres à l’entrée en floraison ; prélèvement par secouage d’environ 2,27 kg d’abeilles (5 lb dans l’original), deux fois en avril.</x:v>
      </x:c>
      <x:c r="C379" s="508" t="str">
        <x:v>Colonie de pollinisation des amandiers de Californie, conduite pour atteindre 8 cadres à l’entrée en floraison ; prélèvement par secouage d’environ 2,27 kg d’abeilles (5 lb dans l’original), deux fois en avril.</x:v>
      </x:c>
      <x:c r="D379" s="508" t="str">
        <x:v>Colonie de pollinisation des amandiers de Californie, conduite pour atteindre 8 cadres à l’entrée en floraison ; prélèvement par secouage d’environ 2,27 kg d’abeilles (5 lb dans l’original), deux fois en avril.</x:v>
      </x:c>
      <x:c r="E379" s="508" t="str">
        <x:v>Colonie de pollinisation des amandiers de Californie, conduite pour atteindre 8 cadres à l’entrée en floraison ; prélèvement par secouage d’environ 2,27 kg d’abeilles (5 lb dans l’original), deux fois en avril.</x:v>
      </x:c>
      <x:c r="F379" s="508" t="str">
        <x:v>Colonie de pollinisation des amandiers de Californie, conduite pour atteindre 8 cadres à l’entrée en floraison ; prélèvement par secouage d’environ 2,27 kg d’abeilles (5 lb dans l’original), deux fois en avril.</x:v>
      </x:c>
      <x:c r="G379" s="508" t="str">
        <x:v>Colonie de pollinisation des amandiers de Californie, conduite pour atteindre 8 cadres à l’entrée en floraison ; prélèvement par secouage d’environ 2,27 kg d’abeilles (5 lb dans l’original), deux fois en avril.</x:v>
      </x:c>
      <x:c r="H379" s="508" t="str">
        <x:v>Colonie de pollinisation des amandiers de Californie, conduite pour atteindre 8 cadres à l’entrée en floraison ; prélèvement par secouage d’environ 2,27 kg d’abeilles (5 lb dans l’original), deux fois en avril.</x:v>
      </x:c>
      <x:c r="I379" s="508" t="str">
        <x:v>Colonie de pollinisation des amandiers de Californie, conduite pour atteindre 8 cadres à l’entrée en floraison ; prélèvement par secouage d’environ 2,27 kg d’abeilles (5 lb dans l’original), deux fois en avril.</x:v>
      </x:c>
      <x:c r="J379" s="508" t="str">
        <x:v>Colonie de pollinisation des amandiers de Californie, conduite pour atteindre 8 cadres à l’entrée en floraison ; prélèvement par secouage d’environ 2,27 kg d’abeilles (5 lb dans l’original), deux fois en avril.</x:v>
      </x:c>
      <x:c r="K379" s="508" t="str">
        <x:v>Colonie de pollinisation des amandiers de Californie, conduite pour atteindre 8 cadres à l’entrée en floraison ; prélèvement par secouage d’environ 2,27 kg d’abeilles (5 lb dans l’original), deux fois en avril.</x:v>
      </x:c>
      <x:c r="L379" s="508" t="str">
        <x:v>Colonie de pollinisation des amandiers de Californie, conduite pour atteindre 8 cadres à l’entrée en floraison ; prélèvement par secouage d’environ 2,27 kg d’abeilles (5 lb dans l’original), deux fois en avril.</x:v>
      </x:c>
      <x:c r="M379" s="508" t="str">
        <x:v>Colonie de pollinisation des amandiers de Californie, conduite pour atteindre 8 cadres à l’entrée en floraison ; prélèvement par secouage d’environ 2,27 kg d’abeilles (5 lb dans l’original), deux fois en avril.</x:v>
      </x:c>
    </x:row>
    <x:row r="380" ht="18" customHeight="1">
      <x:c r="A380" s="498"/>
      <x:c r="B380" s="498"/>
      <x:c r="C380" s="498"/>
      <x:c r="D380" s="498"/>
      <x:c r="E380" s="498"/>
      <x:c r="F380" s="498"/>
      <x:c r="G380" s="498"/>
      <x:c r="H380" s="498"/>
      <x:c r="I380" s="498"/>
      <x:c r="J380" s="498"/>
      <x:c r="K380" s="498"/>
      <x:c r="L380" s="498"/>
      <x:c r="M380" s="498"/>
    </x:row>
    <x:row r="381" ht="18" customHeight="1">
      <x:c r="A381" s="498"/>
      <x:c r="B381" s="529" t="str">
        <x:v>Texte de la feuille · D12</x:v>
      </x:c>
      <x:c r="C381" s="529" t="str">
        <x:v>Texte de la feuille · D12</x:v>
      </x:c>
      <x:c r="D381" s="529" t="str">
        <x:v>Texte de la feuille · D12</x:v>
      </x:c>
      <x:c r="E381" s="529" t="str">
        <x:v>Texte de la feuille · D12</x:v>
      </x:c>
      <x:c r="F381" s="529" t="str">
        <x:v>Texte de la feuille · D12</x:v>
      </x:c>
      <x:c r="G381" s="529" t="str">
        <x:v>Texte de la feuille · D12</x:v>
      </x:c>
      <x:c r="H381" s="529" t="str">
        <x:v>Texte de la feuille · D12</x:v>
      </x:c>
      <x:c r="I381" s="529" t="str">
        <x:v>Texte de la feuille · D12</x:v>
      </x:c>
      <x:c r="J381" s="529" t="str">
        <x:v>Texte de la feuille · D12</x:v>
      </x:c>
      <x:c r="K381" s="529" t="str">
        <x:v>Texte de la feuille · D12</x:v>
      </x:c>
      <x:c r="L381" s="529" t="str">
        <x:v>Texte de la feuille · D12</x:v>
      </x:c>
      <x:c r="M381" s="529" t="str">
        <x:v>Texte de la feuille · D12</x:v>
      </x:c>
    </x:row>
    <x:row r="382" ht="31" customHeight="1">
      <x:c r="A382" s="498"/>
      <x:c r="B382" s="508" t="str">
        <x:v>Colonie sauvage dans une cavité de 40 litres, essaimant deux fois (d’après Loftus 2016 doi:10.1371/</x:v>
      </x:c>
      <x:c r="C382" s="508" t="str">
        <x:v>Colonie sauvage dans une cavité de 40 litres, essaimant deux fois (d’après Loftus 2016 doi:10.1371/</x:v>
      </x:c>
      <x:c r="D382" s="508" t="str">
        <x:v>Colonie sauvage dans une cavité de 40 litres, essaimant deux fois (d’après Loftus 2016 doi:10.1371/</x:v>
      </x:c>
      <x:c r="E382" s="508" t="str">
        <x:v>Colonie sauvage dans une cavité de 40 litres, essaimant deux fois (d’après Loftus 2016 doi:10.1371/</x:v>
      </x:c>
      <x:c r="F382" s="508" t="str">
        <x:v>Colonie sauvage dans une cavité de 40 litres, essaimant deux fois (d’après Loftus 2016 doi:10.1371/</x:v>
      </x:c>
      <x:c r="G382" s="508" t="str">
        <x:v>Colonie sauvage dans une cavité de 40 litres, essaimant deux fois (d’après Loftus 2016 doi:10.1371/</x:v>
      </x:c>
      <x:c r="H382" s="508" t="str">
        <x:v>Colonie sauvage dans une cavité de 40 litres, essaimant deux fois (d’après Loftus 2016 doi:10.1371/</x:v>
      </x:c>
      <x:c r="I382" s="508" t="str">
        <x:v>Colonie sauvage dans une cavité de 40 litres, essaimant deux fois (d’après Loftus 2016 doi:10.1371/</x:v>
      </x:c>
      <x:c r="J382" s="508" t="str">
        <x:v>Colonie sauvage dans une cavité de 40 litres, essaimant deux fois (d’après Loftus 2016 doi:10.1371/</x:v>
      </x:c>
      <x:c r="K382" s="508" t="str">
        <x:v>Colonie sauvage dans une cavité de 40 litres, essaimant deux fois (d’après Loftus 2016 doi:10.1371/</x:v>
      </x:c>
      <x:c r="L382" s="508" t="str">
        <x:v>Colonie sauvage dans une cavité de 40 litres, essaimant deux fois (d’après Loftus 2016 doi:10.1371/</x:v>
      </x:c>
      <x:c r="M382" s="508" t="str">
        <x:v>Colonie sauvage dans une cavité de 40 litres, essaimant deux fois (d’après Loftus 2016 doi:10.1371/</x:v>
      </x:c>
    </x:row>
    <x:row r="383" ht="31" customHeight="1">
      <x:c r="A383" s="498"/>
      <x:c r="B383" s="508" t="str">
        <x:v>journal.pone.0150362).</x:v>
      </x:c>
      <x:c r="C383" s="508" t="str">
        <x:v>journal.pone.0150362).</x:v>
      </x:c>
      <x:c r="D383" s="508" t="str">
        <x:v>journal.pone.0150362).</x:v>
      </x:c>
      <x:c r="E383" s="508" t="str">
        <x:v>journal.pone.0150362).</x:v>
      </x:c>
      <x:c r="F383" s="508" t="str">
        <x:v>journal.pone.0150362).</x:v>
      </x:c>
      <x:c r="G383" s="508" t="str">
        <x:v>journal.pone.0150362).</x:v>
      </x:c>
      <x:c r="H383" s="508" t="str">
        <x:v>journal.pone.0150362).</x:v>
      </x:c>
      <x:c r="I383" s="508" t="str">
        <x:v>journal.pone.0150362).</x:v>
      </x:c>
      <x:c r="J383" s="508" t="str">
        <x:v>journal.pone.0150362).</x:v>
      </x:c>
      <x:c r="K383" s="508" t="str">
        <x:v>journal.pone.0150362).</x:v>
      </x:c>
      <x:c r="L383" s="508" t="str">
        <x:v>journal.pone.0150362).</x:v>
      </x:c>
      <x:c r="M383" s="508" t="str">
        <x:v>journal.pone.0150362).</x:v>
      </x:c>
    </x:row>
    <x:row r="384" ht="18" customHeight="1">
      <x:c r="A384" s="498"/>
      <x:c r="B384" s="498"/>
      <x:c r="C384" s="498"/>
      <x:c r="D384" s="498"/>
      <x:c r="E384" s="498"/>
      <x:c r="F384" s="498"/>
      <x:c r="G384" s="498"/>
      <x:c r="H384" s="498"/>
      <x:c r="I384" s="498"/>
      <x:c r="J384" s="498"/>
      <x:c r="K384" s="498"/>
      <x:c r="L384" s="498"/>
      <x:c r="M384" s="498"/>
    </x:row>
    <x:row r="385" ht="18" customHeight="1">
      <x:c r="A385" s="498"/>
      <x:c r="B385" s="529" t="str">
        <x:v>Texte de la feuille · C13</x:v>
      </x:c>
      <x:c r="C385" s="529" t="str">
        <x:v>Texte de la feuille · C13</x:v>
      </x:c>
      <x:c r="D385" s="529" t="str">
        <x:v>Texte de la feuille · C13</x:v>
      </x:c>
      <x:c r="E385" s="529" t="str">
        <x:v>Texte de la feuille · C13</x:v>
      </x:c>
      <x:c r="F385" s="529" t="str">
        <x:v>Texte de la feuille · C13</x:v>
      </x:c>
      <x:c r="G385" s="529" t="str">
        <x:v>Texte de la feuille · C13</x:v>
      </x:c>
      <x:c r="H385" s="529" t="str">
        <x:v>Texte de la feuille · C13</x:v>
      </x:c>
      <x:c r="I385" s="529" t="str">
        <x:v>Texte de la feuille · C13</x:v>
      </x:c>
      <x:c r="J385" s="529" t="str">
        <x:v>Texte de la feuille · C13</x:v>
      </x:c>
      <x:c r="K385" s="529" t="str">
        <x:v>Texte de la feuille · C13</x:v>
      </x:c>
      <x:c r="L385" s="529" t="str">
        <x:v>Texte de la feuille · C13</x:v>
      </x:c>
      <x:c r="M385" s="529" t="str">
        <x:v>Texte de la feuille · C13</x:v>
      </x:c>
    </x:row>
    <x:row r="386" ht="41.599998474121094" customHeight="1">
      <x:c r="A386" s="498"/>
      <x:c r="B386" s="508" t="str">
        <x:v>Saisissez d’abord des valeurs pour les températures froides (colonne C), un fort apport de pollen ou des températures élevées. Ces conditions environnementales apparaîtront</x:v>
      </x:c>
      <x:c r="C386" s="508" t="str">
        <x:v>Saisissez d’abord des valeurs pour les températures froides (colonne C), un fort apport de pollen ou des températures élevées. Ces conditions environnementales apparaîtront</x:v>
      </x:c>
      <x:c r="D386" s="508" t="str">
        <x:v>Saisissez d’abord des valeurs pour les températures froides (colonne C), un fort apport de pollen ou des températures élevées. Ces conditions environnementales apparaîtront</x:v>
      </x:c>
      <x:c r="E386" s="508" t="str">
        <x:v>Saisissez d’abord des valeurs pour les températures froides (colonne C), un fort apport de pollen ou des températures élevées. Ces conditions environnementales apparaîtront</x:v>
      </x:c>
      <x:c r="F386" s="508" t="str">
        <x:v>Saisissez d’abord des valeurs pour les températures froides (colonne C), un fort apport de pollen ou des températures élevées. Ces conditions environnementales apparaîtront</x:v>
      </x:c>
      <x:c r="G386" s="508" t="str">
        <x:v>Saisissez d’abord des valeurs pour les températures froides (colonne C), un fort apport de pollen ou des températures élevées. Ces conditions environnementales apparaîtront</x:v>
      </x:c>
      <x:c r="H386" s="508" t="str">
        <x:v>Saisissez d’abord des valeurs pour les températures froides (colonne C), un fort apport de pollen ou des températures élevées. Ces conditions environnementales apparaîtront</x:v>
      </x:c>
      <x:c r="I386" s="508" t="str">
        <x:v>Saisissez d’abord des valeurs pour les températures froides (colonne C), un fort apport de pollen ou des températures élevées. Ces conditions environnementales apparaîtront</x:v>
      </x:c>
      <x:c r="J386" s="508" t="str">
        <x:v>Saisissez d’abord des valeurs pour les températures froides (colonne C), un fort apport de pollen ou des températures élevées. Ces conditions environnementales apparaîtront</x:v>
      </x:c>
      <x:c r="K386" s="508" t="str">
        <x:v>Saisissez d’abord des valeurs pour les températures froides (colonne C), un fort apport de pollen ou des températures élevées. Ces conditions environnementales apparaîtront</x:v>
      </x:c>
      <x:c r="L386" s="508" t="str">
        <x:v>Saisissez d’abord des valeurs pour les températures froides (colonne C), un fort apport de pollen ou des températures élevées. Ces conditions environnementales apparaîtront</x:v>
      </x:c>
      <x:c r="M386" s="508" t="str">
        <x:v>Saisissez d’abord des valeurs pour les températures froides (colonne C), un fort apport de pollen ou des températures élevées. Ces conditions environnementales apparaîtront</x:v>
      </x:c>
    </x:row>
    <x:row r="387" ht="18" customHeight="1">
      <x:c r="A387" s="498"/>
      <x:c r="B387" s="498"/>
      <x:c r="C387" s="498"/>
      <x:c r="D387" s="498"/>
      <x:c r="E387" s="498"/>
      <x:c r="F387" s="498"/>
      <x:c r="G387" s="498"/>
      <x:c r="H387" s="498"/>
      <x:c r="I387" s="498"/>
      <x:c r="J387" s="498"/>
      <x:c r="K387" s="498"/>
      <x:c r="L387" s="498"/>
      <x:c r="M387" s="498"/>
    </x:row>
    <x:row r="388" ht="18" customHeight="1">
      <x:c r="A388" s="498"/>
      <x:c r="B388" s="529" t="str">
        <x:v>Texte de la feuille · C14</x:v>
      </x:c>
      <x:c r="C388" s="529" t="str">
        <x:v>Texte de la feuille · C14</x:v>
      </x:c>
      <x:c r="D388" s="529" t="str">
        <x:v>Texte de la feuille · C14</x:v>
      </x:c>
      <x:c r="E388" s="529" t="str">
        <x:v>Texte de la feuille · C14</x:v>
      </x:c>
      <x:c r="F388" s="529" t="str">
        <x:v>Texte de la feuille · C14</x:v>
      </x:c>
      <x:c r="G388" s="529" t="str">
        <x:v>Texte de la feuille · C14</x:v>
      </x:c>
      <x:c r="H388" s="529" t="str">
        <x:v>Texte de la feuille · C14</x:v>
      </x:c>
      <x:c r="I388" s="529" t="str">
        <x:v>Texte de la feuille · C14</x:v>
      </x:c>
      <x:c r="J388" s="529" t="str">
        <x:v>Texte de la feuille · C14</x:v>
      </x:c>
      <x:c r="K388" s="529" t="str">
        <x:v>Texte de la feuille · C14</x:v>
      </x:c>
      <x:c r="L388" s="529" t="str">
        <x:v>Texte de la feuille · C14</x:v>
      </x:c>
      <x:c r="M388" s="529" t="str">
        <x:v>Texte de la feuille · C14</x:v>
      </x:c>
    </x:row>
    <x:row r="389" ht="41.599998474121094" customHeight="1">
      <x:c r="A389" s="498"/>
      <x:c r="B389" s="508" t="str">
        <x:v>sur le graphique de droite, et vous aider à tracer les valeurs des abeilles adultes, du couvain et du couvain de mâles (les colonies ne se développent généralement que pendant les apports de pollen).</x:v>
      </x:c>
      <x:c r="C389" s="508" t="str">
        <x:v>sur le graphique de droite, et vous aider à tracer les valeurs des abeilles adultes, du couvain et du couvain de mâles (les colonies ne se développent généralement que pendant les apports de pollen).</x:v>
      </x:c>
      <x:c r="D389" s="508" t="str">
        <x:v>sur le graphique de droite, et vous aider à tracer les valeurs des abeilles adultes, du couvain et du couvain de mâles (les colonies ne se développent généralement que pendant les apports de pollen).</x:v>
      </x:c>
      <x:c r="E389" s="508" t="str">
        <x:v>sur le graphique de droite, et vous aider à tracer les valeurs des abeilles adultes, du couvain et du couvain de mâles (les colonies ne se développent généralement que pendant les apports de pollen).</x:v>
      </x:c>
      <x:c r="F389" s="508" t="str">
        <x:v>sur le graphique de droite, et vous aider à tracer les valeurs des abeilles adultes, du couvain et du couvain de mâles (les colonies ne se développent généralement que pendant les apports de pollen).</x:v>
      </x:c>
      <x:c r="G389" s="508" t="str">
        <x:v>sur le graphique de droite, et vous aider à tracer les valeurs des abeilles adultes, du couvain et du couvain de mâles (les colonies ne se développent généralement que pendant les apports de pollen).</x:v>
      </x:c>
      <x:c r="H389" s="508" t="str">
        <x:v>sur le graphique de droite, et vous aider à tracer les valeurs des abeilles adultes, du couvain et du couvain de mâles (les colonies ne se développent généralement que pendant les apports de pollen).</x:v>
      </x:c>
      <x:c r="I389" s="508" t="str">
        <x:v>sur le graphique de droite, et vous aider à tracer les valeurs des abeilles adultes, du couvain et du couvain de mâles (les colonies ne se développent généralement que pendant les apports de pollen).</x:v>
      </x:c>
      <x:c r="J389" s="508" t="str">
        <x:v>sur le graphique de droite, et vous aider à tracer les valeurs des abeilles adultes, du couvain et du couvain de mâles (les colonies ne se développent généralement que pendant les apports de pollen).</x:v>
      </x:c>
      <x:c r="K389" s="508" t="str">
        <x:v>sur le graphique de droite, et vous aider à tracer les valeurs des abeilles adultes, du couvain et du couvain de mâles (les colonies ne se développent généralement que pendant les apports de pollen).</x:v>
      </x:c>
      <x:c r="L389" s="508" t="str">
        <x:v>sur le graphique de droite, et vous aider à tracer les valeurs des abeilles adultes, du couvain et du couvain de mâles (les colonies ne se développent généralement que pendant les apports de pollen).</x:v>
      </x:c>
      <x:c r="M389" s="508" t="str">
        <x:v>sur le graphique de droite, et vous aider à tracer les valeurs des abeilles adultes, du couvain et du couvain de mâles (les colonies ne se développent généralement que pendant les apports de pollen).</x:v>
      </x:c>
    </x:row>
    <x:row r="390" ht="18" customHeight="1">
      <x:c r="A390" s="498"/>
      <x:c r="B390" s="498"/>
      <x:c r="C390" s="498"/>
      <x:c r="D390" s="498"/>
      <x:c r="E390" s="498"/>
      <x:c r="F390" s="498"/>
      <x:c r="G390" s="498"/>
      <x:c r="H390" s="498"/>
      <x:c r="I390" s="498"/>
      <x:c r="J390" s="498"/>
      <x:c r="K390" s="498"/>
      <x:c r="L390" s="498"/>
      <x:c r="M390" s="498"/>
    </x:row>
    <x:row r="391" ht="18" customHeight="1">
      <x:c r="A391" s="498"/>
      <x:c r="B391" s="529" t="str">
        <x:v>Texte de la feuille · C15</x:v>
      </x:c>
      <x:c r="C391" s="529" t="str">
        <x:v>Texte de la feuille · C15</x:v>
      </x:c>
      <x:c r="D391" s="529" t="str">
        <x:v>Texte de la feuille · C15</x:v>
      </x:c>
      <x:c r="E391" s="529" t="str">
        <x:v>Texte de la feuille · C15</x:v>
      </x:c>
      <x:c r="F391" s="529" t="str">
        <x:v>Texte de la feuille · C15</x:v>
      </x:c>
      <x:c r="G391" s="529" t="str">
        <x:v>Texte de la feuille · C15</x:v>
      </x:c>
      <x:c r="H391" s="529" t="str">
        <x:v>Texte de la feuille · C15</x:v>
      </x:c>
      <x:c r="I391" s="529" t="str">
        <x:v>Texte de la feuille · C15</x:v>
      </x:c>
      <x:c r="J391" s="529" t="str">
        <x:v>Texte de la feuille · C15</x:v>
      </x:c>
      <x:c r="K391" s="529" t="str">
        <x:v>Texte de la feuille · C15</x:v>
      </x:c>
      <x:c r="L391" s="529" t="str">
        <x:v>Texte de la feuille · C15</x:v>
      </x:c>
      <x:c r="M391" s="529" t="str">
        <x:v>Texte de la feuille · C15</x:v>
      </x:c>
    </x:row>
    <x:row r="392" ht="41.599998474121094" customHeight="1">
      <x:c r="A392" s="498"/>
      <x:c r="B392" s="508" t="str">
        <x:v>Le nombre de cadres entièrement couverts d’abeilles adultes provient de l’observation personnelle, tout comme le nombre de cadres de couvain.</x:v>
      </x:c>
      <x:c r="C392" s="508" t="str">
        <x:v>Le nombre de cadres entièrement couverts d’abeilles adultes provient de l’observation personnelle, tout comme le nombre de cadres de couvain.</x:v>
      </x:c>
      <x:c r="D392" s="508" t="str">
        <x:v>Le nombre de cadres entièrement couverts d’abeilles adultes provient de l’observation personnelle, tout comme le nombre de cadres de couvain.</x:v>
      </x:c>
      <x:c r="E392" s="508" t="str">
        <x:v>Le nombre de cadres entièrement couverts d’abeilles adultes provient de l’observation personnelle, tout comme le nombre de cadres de couvain.</x:v>
      </x:c>
      <x:c r="F392" s="508" t="str">
        <x:v>Le nombre de cadres entièrement couverts d’abeilles adultes provient de l’observation personnelle, tout comme le nombre de cadres de couvain.</x:v>
      </x:c>
      <x:c r="G392" s="508" t="str">
        <x:v>Le nombre de cadres entièrement couverts d’abeilles adultes provient de l’observation personnelle, tout comme le nombre de cadres de couvain.</x:v>
      </x:c>
      <x:c r="H392" s="508" t="str">
        <x:v>Le nombre de cadres entièrement couverts d’abeilles adultes provient de l’observation personnelle, tout comme le nombre de cadres de couvain.</x:v>
      </x:c>
      <x:c r="I392" s="508" t="str">
        <x:v>Le nombre de cadres entièrement couverts d’abeilles adultes provient de l’observation personnelle, tout comme le nombre de cadres de couvain.</x:v>
      </x:c>
      <x:c r="J392" s="508" t="str">
        <x:v>Le nombre de cadres entièrement couverts d’abeilles adultes provient de l’observation personnelle, tout comme le nombre de cadres de couvain.</x:v>
      </x:c>
      <x:c r="K392" s="508" t="str">
        <x:v>Le nombre de cadres entièrement couverts d’abeilles adultes provient de l’observation personnelle, tout comme le nombre de cadres de couvain.</x:v>
      </x:c>
      <x:c r="L392" s="508" t="str">
        <x:v>Le nombre de cadres entièrement couverts d’abeilles adultes provient de l’observation personnelle, tout comme le nombre de cadres de couvain.</x:v>
      </x:c>
      <x:c r="M392" s="508" t="str">
        <x:v>Le nombre de cadres entièrement couverts d’abeilles adultes provient de l’observation personnelle, tout comme le nombre de cadres de couvain.</x:v>
      </x:c>
    </x:row>
    <x:row r="393" ht="18" customHeight="1">
      <x:c r="A393" s="498"/>
      <x:c r="B393" s="498"/>
      <x:c r="C393" s="498"/>
      <x:c r="D393" s="498"/>
      <x:c r="E393" s="498"/>
      <x:c r="F393" s="498"/>
      <x:c r="G393" s="498"/>
      <x:c r="H393" s="498"/>
      <x:c r="I393" s="498"/>
      <x:c r="J393" s="498"/>
      <x:c r="K393" s="498"/>
      <x:c r="L393" s="498"/>
      <x:c r="M393" s="498"/>
    </x:row>
    <x:row r="394" ht="18" customHeight="1">
      <x:c r="A394" s="498"/>
      <x:c r="B394" s="529" t="str">
        <x:v>Texte de la feuille · C16</x:v>
      </x:c>
      <x:c r="C394" s="529" t="str">
        <x:v>Texte de la feuille · C16</x:v>
      </x:c>
      <x:c r="D394" s="529" t="str">
        <x:v>Texte de la feuille · C16</x:v>
      </x:c>
      <x:c r="E394" s="529" t="str">
        <x:v>Texte de la feuille · C16</x:v>
      </x:c>
      <x:c r="F394" s="529" t="str">
        <x:v>Texte de la feuille · C16</x:v>
      </x:c>
      <x:c r="G394" s="529" t="str">
        <x:v>Texte de la feuille · C16</x:v>
      </x:c>
      <x:c r="H394" s="529" t="str">
        <x:v>Texte de la feuille · C16</x:v>
      </x:c>
      <x:c r="I394" s="529" t="str">
        <x:v>Texte de la feuille · C16</x:v>
      </x:c>
      <x:c r="J394" s="529" t="str">
        <x:v>Texte de la feuille · C16</x:v>
      </x:c>
      <x:c r="K394" s="529" t="str">
        <x:v>Texte de la feuille · C16</x:v>
      </x:c>
      <x:c r="L394" s="529" t="str">
        <x:v>Texte de la feuille · C16</x:v>
      </x:c>
      <x:c r="M394" s="529" t="str">
        <x:v>Texte de la feuille · C16</x:v>
      </x:c>
    </x:row>
    <x:row r="395" ht="41.599998474121094" customHeight="1">
      <x:c r="A395" s="498"/>
      <x:c r="B395" s="508" t="str">
        <x:v>Sachez que la plupart des apiculteurs surestiment la force de leurs ruches : peu de colonies dépassent 25 cadres d’abeilles adultes (22,5 cadres est plus raisonnable).</x:v>
      </x:c>
      <x:c r="C395" s="508" t="str">
        <x:v>Sachez que la plupart des apiculteurs surestiment la force de leurs ruches : peu de colonies dépassent 25 cadres d’abeilles adultes (22,5 cadres est plus raisonnable).</x:v>
      </x:c>
      <x:c r="D395" s="508" t="str">
        <x:v>Sachez que la plupart des apiculteurs surestiment la force de leurs ruches : peu de colonies dépassent 25 cadres d’abeilles adultes (22,5 cadres est plus raisonnable).</x:v>
      </x:c>
      <x:c r="E395" s="508" t="str">
        <x:v>Sachez que la plupart des apiculteurs surestiment la force de leurs ruches : peu de colonies dépassent 25 cadres d’abeilles adultes (22,5 cadres est plus raisonnable).</x:v>
      </x:c>
      <x:c r="F395" s="508" t="str">
        <x:v>Sachez que la plupart des apiculteurs surestiment la force de leurs ruches : peu de colonies dépassent 25 cadres d’abeilles adultes (22,5 cadres est plus raisonnable).</x:v>
      </x:c>
      <x:c r="G395" s="508" t="str">
        <x:v>Sachez que la plupart des apiculteurs surestiment la force de leurs ruches : peu de colonies dépassent 25 cadres d’abeilles adultes (22,5 cadres est plus raisonnable).</x:v>
      </x:c>
      <x:c r="H395" s="508" t="str">
        <x:v>Sachez que la plupart des apiculteurs surestiment la force de leurs ruches : peu de colonies dépassent 25 cadres d’abeilles adultes (22,5 cadres est plus raisonnable).</x:v>
      </x:c>
      <x:c r="I395" s="508" t="str">
        <x:v>Sachez que la plupart des apiculteurs surestiment la force de leurs ruches : peu de colonies dépassent 25 cadres d’abeilles adultes (22,5 cadres est plus raisonnable).</x:v>
      </x:c>
      <x:c r="J395" s="508" t="str">
        <x:v>Sachez que la plupart des apiculteurs surestiment la force de leurs ruches : peu de colonies dépassent 25 cadres d’abeilles adultes (22,5 cadres est plus raisonnable).</x:v>
      </x:c>
      <x:c r="K395" s="508" t="str">
        <x:v>Sachez que la plupart des apiculteurs surestiment la force de leurs ruches : peu de colonies dépassent 25 cadres d’abeilles adultes (22,5 cadres est plus raisonnable).</x:v>
      </x:c>
      <x:c r="L395" s="508" t="str">
        <x:v>Sachez que la plupart des apiculteurs surestiment la force de leurs ruches : peu de colonies dépassent 25 cadres d’abeilles adultes (22,5 cadres est plus raisonnable).</x:v>
      </x:c>
      <x:c r="M395" s="508" t="str">
        <x:v>Sachez que la plupart des apiculteurs surestiment la force de leurs ruches : peu de colonies dépassent 25 cadres d’abeilles adultes (22,5 cadres est plus raisonnable).</x:v>
      </x:c>
    </x:row>
    <x:row r="396" ht="18" customHeight="1">
      <x:c r="A396" s="498"/>
      <x:c r="B396" s="498"/>
      <x:c r="C396" s="498"/>
      <x:c r="D396" s="498"/>
      <x:c r="E396" s="498"/>
      <x:c r="F396" s="498"/>
      <x:c r="G396" s="498"/>
      <x:c r="H396" s="498"/>
      <x:c r="I396" s="498"/>
      <x:c r="J396" s="498"/>
      <x:c r="K396" s="498"/>
      <x:c r="L396" s="498"/>
      <x:c r="M396" s="498"/>
    </x:row>
    <x:row r="397" ht="18" customHeight="1">
      <x:c r="A397" s="498"/>
      <x:c r="B397" s="529" t="str">
        <x:v>Texte de la feuille · C19</x:v>
      </x:c>
      <x:c r="C397" s="529" t="str">
        <x:v>Texte de la feuille · C19</x:v>
      </x:c>
      <x:c r="D397" s="529" t="str">
        <x:v>Texte de la feuille · C19</x:v>
      </x:c>
      <x:c r="E397" s="529" t="str">
        <x:v>Texte de la feuille · C19</x:v>
      </x:c>
      <x:c r="F397" s="529" t="str">
        <x:v>Texte de la feuille · C19</x:v>
      </x:c>
      <x:c r="G397" s="529" t="str">
        <x:v>Texte de la feuille · C19</x:v>
      </x:c>
      <x:c r="H397" s="529" t="str">
        <x:v>Texte de la feuille · C19</x:v>
      </x:c>
      <x:c r="I397" s="529" t="str">
        <x:v>Texte de la feuille · C19</x:v>
      </x:c>
      <x:c r="J397" s="529" t="str">
        <x:v>Texte de la feuille · C19</x:v>
      </x:c>
      <x:c r="K397" s="529" t="str">
        <x:v>Texte de la feuille · C19</x:v>
      </x:c>
      <x:c r="L397" s="529" t="str">
        <x:v>Texte de la feuille · C19</x:v>
      </x:c>
      <x:c r="M397" s="529" t="str">
        <x:v>Texte de la feuille · C19</x:v>
      </x:c>
    </x:row>
    <x:row r="398" ht="71.19999694824219" customHeight="1">
      <x:c r="A398" s="498"/>
      <x:c r="B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C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D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E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F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G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H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I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J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K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L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c r="M398" s="508" t="str">
        <x:v>Lorsqu’une colonie atteint 6 cadres de couvain (8–10 cadres couverts d’abeilles), elle croît linéairement d’environ 4–8 cadres d’abeilles adultes par période (voir les calculs de l’onglet Taux de croissance de la colonie), jusqu’à atteindre sa population maximale, d’environ 35 fois le nombre d’œufs pondus par jour, après environ 10–11 semaines, soit</x:v>
      </x:c>
    </x:row>
    <x:row r="399" ht="18" customHeight="1">
      <x:c r="A399" s="498"/>
      <x:c r="B399" s="498"/>
      <x:c r="C399" s="498"/>
      <x:c r="D399" s="498"/>
      <x:c r="E399" s="498"/>
      <x:c r="F399" s="498"/>
      <x:c r="G399" s="498"/>
      <x:c r="H399" s="498"/>
      <x:c r="I399" s="498"/>
      <x:c r="J399" s="498"/>
      <x:c r="K399" s="498"/>
      <x:c r="L399" s="498"/>
      <x:c r="M399" s="498"/>
    </x:row>
    <x:row r="400" ht="18" customHeight="1">
      <x:c r="A400" s="498"/>
      <x:c r="B400" s="529" t="str">
        <x:v>Texte de la feuille · L20</x:v>
      </x:c>
      <x:c r="C400" s="529" t="str">
        <x:v>Texte de la feuille · L20</x:v>
      </x:c>
      <x:c r="D400" s="529" t="str">
        <x:v>Texte de la feuille · L20</x:v>
      </x:c>
      <x:c r="E400" s="529" t="str">
        <x:v>Texte de la feuille · L20</x:v>
      </x:c>
      <x:c r="F400" s="529" t="str">
        <x:v>Texte de la feuille · L20</x:v>
      </x:c>
      <x:c r="G400" s="529" t="str">
        <x:v>Texte de la feuille · L20</x:v>
      </x:c>
      <x:c r="H400" s="529" t="str">
        <x:v>Texte de la feuille · L20</x:v>
      </x:c>
      <x:c r="I400" s="529" t="str">
        <x:v>Texte de la feuille · L20</x:v>
      </x:c>
      <x:c r="J400" s="529" t="str">
        <x:v>Texte de la feuille · L20</x:v>
      </x:c>
      <x:c r="K400" s="529" t="str">
        <x:v>Texte de la feuille · L20</x:v>
      </x:c>
      <x:c r="L400" s="529" t="str">
        <x:v>Texte de la feuille · L20</x:v>
      </x:c>
      <x:c r="M400" s="529" t="str">
        <x:v>Texte de la feuille · L20</x:v>
      </x:c>
    </x:row>
    <x:row r="401" ht="41.599998474121094" customHeight="1">
      <x:c r="A401" s="498"/>
      <x:c r="B401" s="508" t="str">
        <x:v>cadres d’abeilles (il s’agirait d’une colonie exceptionnellement grande, que l’on rencontre généralement seulement dans le nord du Midwest ou au Canada).</x:v>
      </x:c>
      <x:c r="C401" s="508" t="str">
        <x:v>cadres d’abeilles (il s’agirait d’une colonie exceptionnellement grande, que l’on rencontre généralement seulement dans le nord du Midwest ou au Canada).</x:v>
      </x:c>
      <x:c r="D401" s="508" t="str">
        <x:v>cadres d’abeilles (il s’agirait d’une colonie exceptionnellement grande, que l’on rencontre généralement seulement dans le nord du Midwest ou au Canada).</x:v>
      </x:c>
      <x:c r="E401" s="508" t="str">
        <x:v>cadres d’abeilles (il s’agirait d’une colonie exceptionnellement grande, que l’on rencontre généralement seulement dans le nord du Midwest ou au Canada).</x:v>
      </x:c>
      <x:c r="F401" s="508" t="str">
        <x:v>cadres d’abeilles (il s’agirait d’une colonie exceptionnellement grande, que l’on rencontre généralement seulement dans le nord du Midwest ou au Canada).</x:v>
      </x:c>
      <x:c r="G401" s="508" t="str">
        <x:v>cadres d’abeilles (il s’agirait d’une colonie exceptionnellement grande, que l’on rencontre généralement seulement dans le nord du Midwest ou au Canada).</x:v>
      </x:c>
      <x:c r="H401" s="508" t="str">
        <x:v>cadres d’abeilles (il s’agirait d’une colonie exceptionnellement grande, que l’on rencontre généralement seulement dans le nord du Midwest ou au Canada).</x:v>
      </x:c>
      <x:c r="I401" s="508" t="str">
        <x:v>cadres d’abeilles (il s’agirait d’une colonie exceptionnellement grande, que l’on rencontre généralement seulement dans le nord du Midwest ou au Canada).</x:v>
      </x:c>
      <x:c r="J401" s="508" t="str">
        <x:v>cadres d’abeilles (il s’agirait d’une colonie exceptionnellement grande, que l’on rencontre généralement seulement dans le nord du Midwest ou au Canada).</x:v>
      </x:c>
      <x:c r="K401" s="508" t="str">
        <x:v>cadres d’abeilles (il s’agirait d’une colonie exceptionnellement grande, que l’on rencontre généralement seulement dans le nord du Midwest ou au Canada).</x:v>
      </x:c>
      <x:c r="L401" s="508" t="str">
        <x:v>cadres d’abeilles (il s’agirait d’une colonie exceptionnellement grande, que l’on rencontre généralement seulement dans le nord du Midwest ou au Canada).</x:v>
      </x:c>
      <x:c r="M401" s="508" t="str">
        <x:v>cadres d’abeilles (il s’agirait d’une colonie exceptionnellement grande, que l’on rencontre généralement seulement dans le nord du Midwest ou au Canada).</x:v>
      </x:c>
    </x:row>
    <x:row r="402" ht="18" customHeight="1">
      <x:c r="A402" s="498"/>
      <x:c r="B402" s="498"/>
      <x:c r="C402" s="498"/>
      <x:c r="D402" s="498"/>
      <x:c r="E402" s="498"/>
      <x:c r="F402" s="498"/>
      <x:c r="G402" s="498"/>
      <x:c r="H402" s="498"/>
      <x:c r="I402" s="498"/>
      <x:c r="J402" s="498"/>
      <x:c r="K402" s="498"/>
      <x:c r="L402" s="498"/>
      <x:c r="M402" s="498"/>
    </x:row>
    <x:row r="403" ht="18" customHeight="1">
      <x:c r="A403" s="498"/>
      <x:c r="B403" s="529" t="str">
        <x:v>Texte de la feuille · B21</x:v>
      </x:c>
      <x:c r="C403" s="529" t="str">
        <x:v>Texte de la feuille · B21</x:v>
      </x:c>
      <x:c r="D403" s="529" t="str">
        <x:v>Texte de la feuille · B21</x:v>
      </x:c>
      <x:c r="E403" s="529" t="str">
        <x:v>Texte de la feuille · B21</x:v>
      </x:c>
      <x:c r="F403" s="529" t="str">
        <x:v>Texte de la feuille · B21</x:v>
      </x:c>
      <x:c r="G403" s="529" t="str">
        <x:v>Texte de la feuille · B21</x:v>
      </x:c>
      <x:c r="H403" s="529" t="str">
        <x:v>Texte de la feuille · B21</x:v>
      </x:c>
      <x:c r="I403" s="529" t="str">
        <x:v>Texte de la feuille · B21</x:v>
      </x:c>
      <x:c r="J403" s="529" t="str">
        <x:v>Texte de la feuille · B21</x:v>
      </x:c>
      <x:c r="K403" s="529" t="str">
        <x:v>Texte de la feuille · B21</x:v>
      </x:c>
      <x:c r="L403" s="529" t="str">
        <x:v>Texte de la feuille · B21</x:v>
      </x:c>
      <x:c r="M403" s="529" t="str">
        <x:v>Texte de la feuille · B21</x:v>
      </x:c>
    </x:row>
    <x:row r="404" ht="86" customHeight="1">
      <x:c r="A404" s="498"/>
      <x:c r="B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C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D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E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F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G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H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I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J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K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L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c r="M404" s="508" t="str">
        <x:v>Pour estimer le couvain, considérez qu’une couverture équivalente à celle illustrée représente un cadre de couvain. Même les meilleures reines ne peuvent remplir qu’un maximum de 8–10 cadres couverts de couvain à 65 %. Remarque importante sur les fortes miellées : si les abeilles bloquent le nid à couvain pendant une forte miellée, vous devez en tenir compte dans votre estimation de la surface de couvain ; les cellules pleines de nectar et de pollen ne comptent pas comme du « couvain ».</x:v>
      </x:c>
    </x:row>
    <x:row r="405" ht="18" customHeight="1">
      <x:c r="A405" s="498"/>
      <x:c r="B405" s="498"/>
      <x:c r="C405" s="498"/>
      <x:c r="D405" s="498"/>
      <x:c r="E405" s="498"/>
      <x:c r="F405" s="498"/>
      <x:c r="G405" s="498"/>
      <x:c r="H405" s="498"/>
      <x:c r="I405" s="498"/>
      <x:c r="J405" s="498"/>
      <x:c r="K405" s="498"/>
      <x:c r="L405" s="498"/>
      <x:c r="M405" s="498"/>
    </x:row>
    <x:row r="406" ht="18" customHeight="1">
      <x:c r="A406" s="498"/>
      <x:c r="B406" s="529" t="str">
        <x:v>Texte de la feuille · C21</x:v>
      </x:c>
      <x:c r="C406" s="529" t="str">
        <x:v>Texte de la feuille · C21</x:v>
      </x:c>
      <x:c r="D406" s="529" t="str">
        <x:v>Texte de la feuille · C21</x:v>
      </x:c>
      <x:c r="E406" s="529" t="str">
        <x:v>Texte de la feuille · C21</x:v>
      </x:c>
      <x:c r="F406" s="529" t="str">
        <x:v>Texte de la feuille · C21</x:v>
      </x:c>
      <x:c r="G406" s="529" t="str">
        <x:v>Texte de la feuille · C21</x:v>
      </x:c>
      <x:c r="H406" s="529" t="str">
        <x:v>Texte de la feuille · C21</x:v>
      </x:c>
      <x:c r="I406" s="529" t="str">
        <x:v>Texte de la feuille · C21</x:v>
      </x:c>
      <x:c r="J406" s="529" t="str">
        <x:v>Texte de la feuille · C21</x:v>
      </x:c>
      <x:c r="K406" s="529" t="str">
        <x:v>Texte de la feuille · C21</x:v>
      </x:c>
      <x:c r="L406" s="529" t="str">
        <x:v>Texte de la feuille · C21</x:v>
      </x:c>
      <x:c r="M406" s="529" t="str">
        <x:v>Texte de la feuille · C21</x:v>
      </x:c>
    </x:row>
    <x:row r="407" ht="41.599998474121094" customHeight="1">
      <x:c r="A407" s="498"/>
      <x:c r="B407" s="508" t="str">
        <x:v>Je ne comprends pas encore pourquoi les colonies des prairies du nord de l’Amérique du Nord deviennent plus grandes qu’en Californie.</x:v>
      </x:c>
      <x:c r="C407" s="508" t="str">
        <x:v>Je ne comprends pas encore pourquoi les colonies des prairies du nord de l’Amérique du Nord deviennent plus grandes qu’en Californie.</x:v>
      </x:c>
      <x:c r="D407" s="508" t="str">
        <x:v>Je ne comprends pas encore pourquoi les colonies des prairies du nord de l’Amérique du Nord deviennent plus grandes qu’en Californie.</x:v>
      </x:c>
      <x:c r="E407" s="508" t="str">
        <x:v>Je ne comprends pas encore pourquoi les colonies des prairies du nord de l’Amérique du Nord deviennent plus grandes qu’en Californie.</x:v>
      </x:c>
      <x:c r="F407" s="508" t="str">
        <x:v>Je ne comprends pas encore pourquoi les colonies des prairies du nord de l’Amérique du Nord deviennent plus grandes qu’en Californie.</x:v>
      </x:c>
      <x:c r="G407" s="508" t="str">
        <x:v>Je ne comprends pas encore pourquoi les colonies des prairies du nord de l’Amérique du Nord deviennent plus grandes qu’en Californie.</x:v>
      </x:c>
      <x:c r="H407" s="508" t="str">
        <x:v>Je ne comprends pas encore pourquoi les colonies des prairies du nord de l’Amérique du Nord deviennent plus grandes qu’en Californie.</x:v>
      </x:c>
      <x:c r="I407" s="508" t="str">
        <x:v>Je ne comprends pas encore pourquoi les colonies des prairies du nord de l’Amérique du Nord deviennent plus grandes qu’en Californie.</x:v>
      </x:c>
      <x:c r="J407" s="508" t="str">
        <x:v>Je ne comprends pas encore pourquoi les colonies des prairies du nord de l’Amérique du Nord deviennent plus grandes qu’en Californie.</x:v>
      </x:c>
      <x:c r="K407" s="508" t="str">
        <x:v>Je ne comprends pas encore pourquoi les colonies des prairies du nord de l’Amérique du Nord deviennent plus grandes qu’en Californie.</x:v>
      </x:c>
      <x:c r="L407" s="508" t="str">
        <x:v>Je ne comprends pas encore pourquoi les colonies des prairies du nord de l’Amérique du Nord deviennent plus grandes qu’en Californie.</x:v>
      </x:c>
      <x:c r="M407" s="508" t="str">
        <x:v>Je ne comprends pas encore pourquoi les colonies des prairies du nord de l’Amérique du Nord deviennent plus grandes qu’en Californie.</x:v>
      </x:c>
    </x:row>
    <x:row r="408" ht="18" customHeight="1">
      <x:c r="A408" s="498"/>
      <x:c r="B408" s="498"/>
      <x:c r="C408" s="498"/>
      <x:c r="D408" s="498"/>
      <x:c r="E408" s="498"/>
      <x:c r="F408" s="498"/>
      <x:c r="G408" s="498"/>
      <x:c r="H408" s="498"/>
      <x:c r="I408" s="498"/>
      <x:c r="J408" s="498"/>
      <x:c r="K408" s="498"/>
      <x:c r="L408" s="498"/>
      <x:c r="M408" s="498"/>
    </x:row>
    <x:row r="409" ht="18" customHeight="1">
      <x:c r="A409" s="498"/>
      <x:c r="B409" s="529" t="str">
        <x:v>Texte de la feuille · C22</x:v>
      </x:c>
      <x:c r="C409" s="529" t="str">
        <x:v>Texte de la feuille · C22</x:v>
      </x:c>
      <x:c r="D409" s="529" t="str">
        <x:v>Texte de la feuille · C22</x:v>
      </x:c>
      <x:c r="E409" s="529" t="str">
        <x:v>Texte de la feuille · C22</x:v>
      </x:c>
      <x:c r="F409" s="529" t="str">
        <x:v>Texte de la feuille · C22</x:v>
      </x:c>
      <x:c r="G409" s="529" t="str">
        <x:v>Texte de la feuille · C22</x:v>
      </x:c>
      <x:c r="H409" s="529" t="str">
        <x:v>Texte de la feuille · C22</x:v>
      </x:c>
      <x:c r="I409" s="529" t="str">
        <x:v>Texte de la feuille · C22</x:v>
      </x:c>
      <x:c r="J409" s="529" t="str">
        <x:v>Texte de la feuille · C22</x:v>
      </x:c>
      <x:c r="K409" s="529" t="str">
        <x:v>Texte de la feuille · C22</x:v>
      </x:c>
      <x:c r="L409" s="529" t="str">
        <x:v>Texte de la feuille · C22</x:v>
      </x:c>
      <x:c r="M409" s="529" t="str">
        <x:v>Texte de la feuille · C22</x:v>
      </x:c>
    </x:row>
    <x:row r="410" ht="56.400001525878906" customHeight="1">
      <x:c r="A410" s="498"/>
      <x:c r="B410" s="508" t="str">
        <x:v>Remarque : une ruche très peuplée (par exemple avant l’essaimage) peut contenir plus de 2 000 abeilles par cadre, jusqu’à 2 500 ; une ruche sur deux corps peut donc contenir plus de l’équivalent de 20 cadres d’abeilles.</x:v>
      </x:c>
      <x:c r="C410" s="508" t="str">
        <x:v>Remarque : une ruche très peuplée (par exemple avant l’essaimage) peut contenir plus de 2 000 abeilles par cadre, jusqu’à 2 500 ; une ruche sur deux corps peut donc contenir plus de l’équivalent de 20 cadres d’abeilles.</x:v>
      </x:c>
      <x:c r="D410" s="508" t="str">
        <x:v>Remarque : une ruche très peuplée (par exemple avant l’essaimage) peut contenir plus de 2 000 abeilles par cadre, jusqu’à 2 500 ; une ruche sur deux corps peut donc contenir plus de l’équivalent de 20 cadres d’abeilles.</x:v>
      </x:c>
      <x:c r="E410" s="508" t="str">
        <x:v>Remarque : une ruche très peuplée (par exemple avant l’essaimage) peut contenir plus de 2 000 abeilles par cadre, jusqu’à 2 500 ; une ruche sur deux corps peut donc contenir plus de l’équivalent de 20 cadres d’abeilles.</x:v>
      </x:c>
      <x:c r="F410" s="508" t="str">
        <x:v>Remarque : une ruche très peuplée (par exemple avant l’essaimage) peut contenir plus de 2 000 abeilles par cadre, jusqu’à 2 500 ; une ruche sur deux corps peut donc contenir plus de l’équivalent de 20 cadres d’abeilles.</x:v>
      </x:c>
      <x:c r="G410" s="508" t="str">
        <x:v>Remarque : une ruche très peuplée (par exemple avant l’essaimage) peut contenir plus de 2 000 abeilles par cadre, jusqu’à 2 500 ; une ruche sur deux corps peut donc contenir plus de l’équivalent de 20 cadres d’abeilles.</x:v>
      </x:c>
      <x:c r="H410" s="508" t="str">
        <x:v>Remarque : une ruche très peuplée (par exemple avant l’essaimage) peut contenir plus de 2 000 abeilles par cadre, jusqu’à 2 500 ; une ruche sur deux corps peut donc contenir plus de l’équivalent de 20 cadres d’abeilles.</x:v>
      </x:c>
      <x:c r="I410" s="508" t="str">
        <x:v>Remarque : une ruche très peuplée (par exemple avant l’essaimage) peut contenir plus de 2 000 abeilles par cadre, jusqu’à 2 500 ; une ruche sur deux corps peut donc contenir plus de l’équivalent de 20 cadres d’abeilles.</x:v>
      </x:c>
      <x:c r="J410" s="508" t="str">
        <x:v>Remarque : une ruche très peuplée (par exemple avant l’essaimage) peut contenir plus de 2 000 abeilles par cadre, jusqu’à 2 500 ; une ruche sur deux corps peut donc contenir plus de l’équivalent de 20 cadres d’abeilles.</x:v>
      </x:c>
      <x:c r="K410" s="508" t="str">
        <x:v>Remarque : une ruche très peuplée (par exemple avant l’essaimage) peut contenir plus de 2 000 abeilles par cadre, jusqu’à 2 500 ; une ruche sur deux corps peut donc contenir plus de l’équivalent de 20 cadres d’abeilles.</x:v>
      </x:c>
      <x:c r="L410" s="508" t="str">
        <x:v>Remarque : une ruche très peuplée (par exemple avant l’essaimage) peut contenir plus de 2 000 abeilles par cadre, jusqu’à 2 500 ; une ruche sur deux corps peut donc contenir plus de l’équivalent de 20 cadres d’abeilles.</x:v>
      </x:c>
      <x:c r="M410" s="508" t="str">
        <x:v>Remarque : une ruche très peuplée (par exemple avant l’essaimage) peut contenir plus de 2 000 abeilles par cadre, jusqu’à 2 500 ; une ruche sur deux corps peut donc contenir plus de l’équivalent de 20 cadres d’abeilles.</x:v>
      </x:c>
    </x:row>
    <x:row r="411" ht="18" customHeight="1">
      <x:c r="A411" s="498"/>
      <x:c r="B411" s="498"/>
      <x:c r="C411" s="498"/>
      <x:c r="D411" s="498"/>
      <x:c r="E411" s="498"/>
      <x:c r="F411" s="498"/>
      <x:c r="G411" s="498"/>
      <x:c r="H411" s="498"/>
      <x:c r="I411" s="498"/>
      <x:c r="J411" s="498"/>
      <x:c r="K411" s="498"/>
      <x:c r="L411" s="498"/>
      <x:c r="M411" s="498"/>
    </x:row>
    <x:row r="412" ht="18" customHeight="1">
      <x:c r="A412" s="498"/>
      <x:c r="B412" s="529" t="str">
        <x:v>Texte de la feuille · C23</x:v>
      </x:c>
      <x:c r="C412" s="529" t="str">
        <x:v>Texte de la feuille · C23</x:v>
      </x:c>
      <x:c r="D412" s="529" t="str">
        <x:v>Texte de la feuille · C23</x:v>
      </x:c>
      <x:c r="E412" s="529" t="str">
        <x:v>Texte de la feuille · C23</x:v>
      </x:c>
      <x:c r="F412" s="529" t="str">
        <x:v>Texte de la feuille · C23</x:v>
      </x:c>
      <x:c r="G412" s="529" t="str">
        <x:v>Texte de la feuille · C23</x:v>
      </x:c>
      <x:c r="H412" s="529" t="str">
        <x:v>Texte de la feuille · C23</x:v>
      </x:c>
      <x:c r="I412" s="529" t="str">
        <x:v>Texte de la feuille · C23</x:v>
      </x:c>
      <x:c r="J412" s="529" t="str">
        <x:v>Texte de la feuille · C23</x:v>
      </x:c>
      <x:c r="K412" s="529" t="str">
        <x:v>Texte de la feuille · C23</x:v>
      </x:c>
      <x:c r="L412" s="529" t="str">
        <x:v>Texte de la feuille · C23</x:v>
      </x:c>
      <x:c r="M412" s="529" t="str">
        <x:v>Texte de la feuille · C23</x:v>
      </x:c>
    </x:row>
    <x:row r="413" ht="41.599998474121094" customHeight="1">
      <x:c r="A413" s="498"/>
      <x:c r="B413" s="508" t="str">
        <x:v>Remarque importante : si votre colonie personnalisée essaime ou est divisée, vous devez saisir la réduction correspondante des varroas comme un traitement, à cette date, sur la page d’accueil.</x:v>
      </x:c>
      <x:c r="C413" s="508" t="str">
        <x:v>Remarque importante : si votre colonie personnalisée essaime ou est divisée, vous devez saisir la réduction correspondante des varroas comme un traitement, à cette date, sur la page d’accueil.</x:v>
      </x:c>
      <x:c r="D413" s="508" t="str">
        <x:v>Remarque importante : si votre colonie personnalisée essaime ou est divisée, vous devez saisir la réduction correspondante des varroas comme un traitement, à cette date, sur la page d’accueil.</x:v>
      </x:c>
      <x:c r="E413" s="508" t="str">
        <x:v>Remarque importante : si votre colonie personnalisée essaime ou est divisée, vous devez saisir la réduction correspondante des varroas comme un traitement, à cette date, sur la page d’accueil.</x:v>
      </x:c>
      <x:c r="F413" s="508" t="str">
        <x:v>Remarque importante : si votre colonie personnalisée essaime ou est divisée, vous devez saisir la réduction correspondante des varroas comme un traitement, à cette date, sur la page d’accueil.</x:v>
      </x:c>
      <x:c r="G413" s="508" t="str">
        <x:v>Remarque importante : si votre colonie personnalisée essaime ou est divisée, vous devez saisir la réduction correspondante des varroas comme un traitement, à cette date, sur la page d’accueil.</x:v>
      </x:c>
      <x:c r="H413" s="508" t="str">
        <x:v>Remarque importante : si votre colonie personnalisée essaime ou est divisée, vous devez saisir la réduction correspondante des varroas comme un traitement, à cette date, sur la page d’accueil.</x:v>
      </x:c>
      <x:c r="I413" s="508" t="str">
        <x:v>Remarque importante : si votre colonie personnalisée essaime ou est divisée, vous devez saisir la réduction correspondante des varroas comme un traitement, à cette date, sur la page d’accueil.</x:v>
      </x:c>
      <x:c r="J413" s="508" t="str">
        <x:v>Remarque importante : si votre colonie personnalisée essaime ou est divisée, vous devez saisir la réduction correspondante des varroas comme un traitement, à cette date, sur la page d’accueil.</x:v>
      </x:c>
      <x:c r="K413" s="508" t="str">
        <x:v>Remarque importante : si votre colonie personnalisée essaime ou est divisée, vous devez saisir la réduction correspondante des varroas comme un traitement, à cette date, sur la page d’accueil.</x:v>
      </x:c>
      <x:c r="L413" s="508" t="str">
        <x:v>Remarque importante : si votre colonie personnalisée essaime ou est divisée, vous devez saisir la réduction correspondante des varroas comme un traitement, à cette date, sur la page d’accueil.</x:v>
      </x:c>
      <x:c r="M413" s="508" t="str">
        <x:v>Remarque importante : si votre colonie personnalisée essaime ou est divisée, vous devez saisir la réduction correspondante des varroas comme un traitement, à cette date, sur la page d’accueil.</x:v>
      </x:c>
    </x:row>
    <x:row r="414" ht="18" customHeight="1">
      <x:c r="A414" s="498"/>
      <x:c r="B414" s="498"/>
      <x:c r="C414" s="498"/>
      <x:c r="D414" s="498"/>
      <x:c r="E414" s="498"/>
      <x:c r="F414" s="498"/>
      <x:c r="G414" s="498"/>
      <x:c r="H414" s="498"/>
      <x:c r="I414" s="498"/>
      <x:c r="J414" s="498"/>
      <x:c r="K414" s="498"/>
      <x:c r="L414" s="498"/>
      <x:c r="M414" s="498"/>
    </x:row>
    <x:row r="415" ht="18" customHeight="1">
      <x:c r="A415" s="498"/>
      <x:c r="B415" s="529" t="str">
        <x:v>Texte de la feuille · C24</x:v>
      </x:c>
      <x:c r="C415" s="529" t="str">
        <x:v>Texte de la feuille · C24</x:v>
      </x:c>
      <x:c r="D415" s="529" t="str">
        <x:v>Texte de la feuille · C24</x:v>
      </x:c>
      <x:c r="E415" s="529" t="str">
        <x:v>Texte de la feuille · C24</x:v>
      </x:c>
      <x:c r="F415" s="529" t="str">
        <x:v>Texte de la feuille · C24</x:v>
      </x:c>
      <x:c r="G415" s="529" t="str">
        <x:v>Texte de la feuille · C24</x:v>
      </x:c>
      <x:c r="H415" s="529" t="str">
        <x:v>Texte de la feuille · C24</x:v>
      </x:c>
      <x:c r="I415" s="529" t="str">
        <x:v>Texte de la feuille · C24</x:v>
      </x:c>
      <x:c r="J415" s="529" t="str">
        <x:v>Texte de la feuille · C24</x:v>
      </x:c>
      <x:c r="K415" s="529" t="str">
        <x:v>Texte de la feuille · C24</x:v>
      </x:c>
      <x:c r="L415" s="529" t="str">
        <x:v>Texte de la feuille · C24</x:v>
      </x:c>
      <x:c r="M415" s="529" t="str">
        <x:v>Texte de la feuille · C24</x:v>
      </x:c>
    </x:row>
    <x:row r="416" ht="41.599998474121094" customHeight="1">
      <x:c r="A416" s="498"/>
      <x:c r="B416" s="508" t="str">
        <x:v>Suggestions : placer le pointeur sur n’importe quel point d’une courbe pour connaître la cellule à laquelle il correspond. Vous pouvez ensuite modifier la valeur de cette cellule pour lisser votre courbe.</x:v>
      </x:c>
      <x:c r="C416" s="508" t="str">
        <x:v>Suggestions : placer le pointeur sur n’importe quel point d’une courbe pour connaître la cellule à laquelle il correspond. Vous pouvez ensuite modifier la valeur de cette cellule pour lisser votre courbe.</x:v>
      </x:c>
      <x:c r="D416" s="508" t="str">
        <x:v>Suggestions : placer le pointeur sur n’importe quel point d’une courbe pour connaître la cellule à laquelle il correspond. Vous pouvez ensuite modifier la valeur de cette cellule pour lisser votre courbe.</x:v>
      </x:c>
      <x:c r="E416" s="508" t="str">
        <x:v>Suggestions : placer le pointeur sur n’importe quel point d’une courbe pour connaître la cellule à laquelle il correspond. Vous pouvez ensuite modifier la valeur de cette cellule pour lisser votre courbe.</x:v>
      </x:c>
      <x:c r="F416" s="508" t="str">
        <x:v>Suggestions : placer le pointeur sur n’importe quel point d’une courbe pour connaître la cellule à laquelle il correspond. Vous pouvez ensuite modifier la valeur de cette cellule pour lisser votre courbe.</x:v>
      </x:c>
      <x:c r="G416" s="508" t="str">
        <x:v>Suggestions : placer le pointeur sur n’importe quel point d’une courbe pour connaître la cellule à laquelle il correspond. Vous pouvez ensuite modifier la valeur de cette cellule pour lisser votre courbe.</x:v>
      </x:c>
      <x:c r="H416" s="508" t="str">
        <x:v>Suggestions : placer le pointeur sur n’importe quel point d’une courbe pour connaître la cellule à laquelle il correspond. Vous pouvez ensuite modifier la valeur de cette cellule pour lisser votre courbe.</x:v>
      </x:c>
      <x:c r="I416" s="508" t="str">
        <x:v>Suggestions : placer le pointeur sur n’importe quel point d’une courbe pour connaître la cellule à laquelle il correspond. Vous pouvez ensuite modifier la valeur de cette cellule pour lisser votre courbe.</x:v>
      </x:c>
      <x:c r="J416" s="508" t="str">
        <x:v>Suggestions : placer le pointeur sur n’importe quel point d’une courbe pour connaître la cellule à laquelle il correspond. Vous pouvez ensuite modifier la valeur de cette cellule pour lisser votre courbe.</x:v>
      </x:c>
      <x:c r="K416" s="508" t="str">
        <x:v>Suggestions : placer le pointeur sur n’importe quel point d’une courbe pour connaître la cellule à laquelle il correspond. Vous pouvez ensuite modifier la valeur de cette cellule pour lisser votre courbe.</x:v>
      </x:c>
      <x:c r="L416" s="508" t="str">
        <x:v>Suggestions : placer le pointeur sur n’importe quel point d’une courbe pour connaître la cellule à laquelle il correspond. Vous pouvez ensuite modifier la valeur de cette cellule pour lisser votre courbe.</x:v>
      </x:c>
      <x:c r="M416" s="508" t="str">
        <x:v>Suggestions : placer le pointeur sur n’importe quel point d’une courbe pour connaître la cellule à laquelle il correspond. Vous pouvez ensuite modifier la valeur de cette cellule pour lisser votre courbe.</x:v>
      </x:c>
    </x:row>
    <x:row r="417" ht="18" customHeight="1">
      <x:c r="A417" s="498"/>
      <x:c r="B417" s="498"/>
      <x:c r="C417" s="498"/>
      <x:c r="D417" s="498"/>
      <x:c r="E417" s="498"/>
      <x:c r="F417" s="498"/>
      <x:c r="G417" s="498"/>
      <x:c r="H417" s="498"/>
      <x:c r="I417" s="498"/>
      <x:c r="J417" s="498"/>
      <x:c r="K417" s="498"/>
      <x:c r="L417" s="498"/>
      <x:c r="M417" s="498"/>
    </x:row>
    <x:row r="418" ht="18" customHeight="1">
      <x:c r="A418" s="498"/>
      <x:c r="B418" s="529" t="str">
        <x:v>Texte de la feuille · C25</x:v>
      </x:c>
      <x:c r="C418" s="529" t="str">
        <x:v>Texte de la feuille · C25</x:v>
      </x:c>
      <x:c r="D418" s="529" t="str">
        <x:v>Texte de la feuille · C25</x:v>
      </x:c>
      <x:c r="E418" s="529" t="str">
        <x:v>Texte de la feuille · C25</x:v>
      </x:c>
      <x:c r="F418" s="529" t="str">
        <x:v>Texte de la feuille · C25</x:v>
      </x:c>
      <x:c r="G418" s="529" t="str">
        <x:v>Texte de la feuille · C25</x:v>
      </x:c>
      <x:c r="H418" s="529" t="str">
        <x:v>Texte de la feuille · C25</x:v>
      </x:c>
      <x:c r="I418" s="529" t="str">
        <x:v>Texte de la feuille · C25</x:v>
      </x:c>
      <x:c r="J418" s="529" t="str">
        <x:v>Texte de la feuille · C25</x:v>
      </x:c>
      <x:c r="K418" s="529" t="str">
        <x:v>Texte de la feuille · C25</x:v>
      </x:c>
      <x:c r="L418" s="529" t="str">
        <x:v>Texte de la feuille · C25</x:v>
      </x:c>
      <x:c r="M418" s="529" t="str">
        <x:v>Texte de la feuille · C25</x:v>
      </x:c>
    </x:row>
    <x:row r="419" ht="41.599998474121094" customHeight="1">
      <x:c r="A419" s="498"/>
      <x:c r="B419" s="508" t="str">
        <x:v>Pourcentage de cellules de mâles : estimez-le par surface, et non en comptant réellement les cellules. Généralement 5 % au maximum, mais il peut atteindre 20 % si l’on ajoute des rayons de mâles.</x:v>
      </x:c>
      <x:c r="C419" s="508" t="str">
        <x:v>Pourcentage de cellules de mâles : estimez-le par surface, et non en comptant réellement les cellules. Généralement 5 % au maximum, mais il peut atteindre 20 % si l’on ajoute des rayons de mâles.</x:v>
      </x:c>
      <x:c r="D419" s="508" t="str">
        <x:v>Pourcentage de cellules de mâles : estimez-le par surface, et non en comptant réellement les cellules. Généralement 5 % au maximum, mais il peut atteindre 20 % si l’on ajoute des rayons de mâles.</x:v>
      </x:c>
      <x:c r="E419" s="508" t="str">
        <x:v>Pourcentage de cellules de mâles : estimez-le par surface, et non en comptant réellement les cellules. Généralement 5 % au maximum, mais il peut atteindre 20 % si l’on ajoute des rayons de mâles.</x:v>
      </x:c>
      <x:c r="F419" s="508" t="str">
        <x:v>Pourcentage de cellules de mâles : estimez-le par surface, et non en comptant réellement les cellules. Généralement 5 % au maximum, mais il peut atteindre 20 % si l’on ajoute des rayons de mâles.</x:v>
      </x:c>
      <x:c r="G419" s="508" t="str">
        <x:v>Pourcentage de cellules de mâles : estimez-le par surface, et non en comptant réellement les cellules. Généralement 5 % au maximum, mais il peut atteindre 20 % si l’on ajoute des rayons de mâles.</x:v>
      </x:c>
      <x:c r="H419" s="508" t="str">
        <x:v>Pourcentage de cellules de mâles : estimez-le par surface, et non en comptant réellement les cellules. Généralement 5 % au maximum, mais il peut atteindre 20 % si l’on ajoute des rayons de mâles.</x:v>
      </x:c>
      <x:c r="I419" s="508" t="str">
        <x:v>Pourcentage de cellules de mâles : estimez-le par surface, et non en comptant réellement les cellules. Généralement 5 % au maximum, mais il peut atteindre 20 % si l’on ajoute des rayons de mâles.</x:v>
      </x:c>
      <x:c r="J419" s="508" t="str">
        <x:v>Pourcentage de cellules de mâles : estimez-le par surface, et non en comptant réellement les cellules. Généralement 5 % au maximum, mais il peut atteindre 20 % si l’on ajoute des rayons de mâles.</x:v>
      </x:c>
      <x:c r="K419" s="508" t="str">
        <x:v>Pourcentage de cellules de mâles : estimez-le par surface, et non en comptant réellement les cellules. Généralement 5 % au maximum, mais il peut atteindre 20 % si l’on ajoute des rayons de mâles.</x:v>
      </x:c>
      <x:c r="L419" s="508" t="str">
        <x:v>Pourcentage de cellules de mâles : estimez-le par surface, et non en comptant réellement les cellules. Généralement 5 % au maximum, mais il peut atteindre 20 % si l’on ajoute des rayons de mâles.</x:v>
      </x:c>
      <x:c r="M419" s="508" t="str">
        <x:v>Pourcentage de cellules de mâles : estimez-le par surface, et non en comptant réellement les cellules. Généralement 5 % au maximum, mais il peut atteindre 20 % si l’on ajoute des rayons de mâles.</x:v>
      </x:c>
    </x:row>
    <x:row r="420" ht="18" customHeight="1">
      <x:c r="A420" s="498"/>
      <x:c r="B420" s="498"/>
      <x:c r="C420" s="498"/>
      <x:c r="D420" s="498"/>
      <x:c r="E420" s="498"/>
      <x:c r="F420" s="498"/>
      <x:c r="G420" s="498"/>
      <x:c r="H420" s="498"/>
      <x:c r="I420" s="498"/>
      <x:c r="J420" s="498"/>
      <x:c r="K420" s="498"/>
      <x:c r="L420" s="498"/>
      <x:c r="M420" s="498"/>
    </x:row>
    <x:row r="421" ht="18" customHeight="1">
      <x:c r="A421" s="498"/>
      <x:c r="B421" s="529" t="str">
        <x:v>Texte de la feuille · B28</x:v>
      </x:c>
      <x:c r="C421" s="529" t="str">
        <x:v>Texte de la feuille · B28</x:v>
      </x:c>
      <x:c r="D421" s="529" t="str">
        <x:v>Texte de la feuille · B28</x:v>
      </x:c>
      <x:c r="E421" s="529" t="str">
        <x:v>Texte de la feuille · B28</x:v>
      </x:c>
      <x:c r="F421" s="529" t="str">
        <x:v>Texte de la feuille · B28</x:v>
      </x:c>
      <x:c r="G421" s="529" t="str">
        <x:v>Texte de la feuille · B28</x:v>
      </x:c>
      <x:c r="H421" s="529" t="str">
        <x:v>Texte de la feuille · B28</x:v>
      </x:c>
      <x:c r="I421" s="529" t="str">
        <x:v>Texte de la feuille · B28</x:v>
      </x:c>
      <x:c r="J421" s="529" t="str">
        <x:v>Texte de la feuille · B28</x:v>
      </x:c>
      <x:c r="K421" s="529" t="str">
        <x:v>Texte de la feuille · B28</x:v>
      </x:c>
      <x:c r="L421" s="529" t="str">
        <x:v>Texte de la feuille · B28</x:v>
      </x:c>
      <x:c r="M421" s="529" t="str">
        <x:v>Texte de la feuille · B28</x:v>
      </x:c>
    </x:row>
    <x:row r="422" ht="56.400001525878906" customHeight="1">
      <x:c r="A422" s="498"/>
      <x:c r="B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C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D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E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F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G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H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I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J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K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L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c r="M422" s="508" t="str">
        <x:v>Faire défiler vers la droite (colonne AD) pour voir les différentes options d’immigration de varroas représentées graphiquement &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gt;</x:v>
      </x:c>
    </x:row>
    <x:row r="423" ht="18" customHeight="1">
      <x:c r="A423" s="498"/>
      <x:c r="B423" s="498"/>
      <x:c r="C423" s="498"/>
      <x:c r="D423" s="498"/>
      <x:c r="E423" s="498"/>
      <x:c r="F423" s="498"/>
      <x:c r="G423" s="498"/>
      <x:c r="H423" s="498"/>
      <x:c r="I423" s="498"/>
      <x:c r="J423" s="498"/>
      <x:c r="K423" s="498"/>
      <x:c r="L423" s="498"/>
      <x:c r="M423" s="498"/>
    </x:row>
    <x:row r="424" ht="18" customHeight="1">
      <x:c r="A424" s="498"/>
      <x:c r="B424" s="529" t="str">
        <x:v>Texte de la feuille · I30</x:v>
      </x:c>
      <x:c r="C424" s="529" t="str">
        <x:v>Texte de la feuille · I30</x:v>
      </x:c>
      <x:c r="D424" s="529" t="str">
        <x:v>Texte de la feuille · I30</x:v>
      </x:c>
      <x:c r="E424" s="529" t="str">
        <x:v>Texte de la feuille · I30</x:v>
      </x:c>
      <x:c r="F424" s="529" t="str">
        <x:v>Texte de la feuille · I30</x:v>
      </x:c>
      <x:c r="G424" s="529" t="str">
        <x:v>Texte de la feuille · I30</x:v>
      </x:c>
      <x:c r="H424" s="529" t="str">
        <x:v>Texte de la feuille · I30</x:v>
      </x:c>
      <x:c r="I424" s="529" t="str">
        <x:v>Texte de la feuille · I30</x:v>
      </x:c>
      <x:c r="J424" s="529" t="str">
        <x:v>Texte de la feuille · I30</x:v>
      </x:c>
      <x:c r="K424" s="529" t="str">
        <x:v>Texte de la feuille · I30</x:v>
      </x:c>
      <x:c r="L424" s="529" t="str">
        <x:v>Texte de la feuille · I30</x:v>
      </x:c>
      <x:c r="M424" s="529" t="str">
        <x:v>Texte de la feuille · I30</x:v>
      </x:c>
    </x:row>
    <x:row r="425" ht="41.599998474121094" customHeight="1">
      <x:c r="A425" s="498"/>
      <x:c r="B425" s="508" t="str">
        <x:v>Nombre observé de cadres couverts d’abeilles. Stable en hiver, il baisse lors du renouvellement printanier, puis augmente d’environ 4 cadres par période jusqu’à un maximum habituel de 22–33 cadres.</x:v>
      </x:c>
      <x:c r="C425" s="508" t="str">
        <x:v>Nombre observé de cadres couverts d’abeilles. Stable en hiver, il baisse lors du renouvellement printanier, puis augmente d’environ 4 cadres par période jusqu’à un maximum habituel de 22–33 cadres.</x:v>
      </x:c>
      <x:c r="D425" s="508" t="str">
        <x:v>Nombre observé de cadres couverts d’abeilles. Stable en hiver, il baisse lors du renouvellement printanier, puis augmente d’environ 4 cadres par période jusqu’à un maximum habituel de 22–33 cadres.</x:v>
      </x:c>
      <x:c r="E425" s="508" t="str">
        <x:v>Nombre observé de cadres couverts d’abeilles. Stable en hiver, il baisse lors du renouvellement printanier, puis augmente d’environ 4 cadres par période jusqu’à un maximum habituel de 22–33 cadres.</x:v>
      </x:c>
      <x:c r="F425" s="508" t="str">
        <x:v>Nombre observé de cadres couverts d’abeilles. Stable en hiver, il baisse lors du renouvellement printanier, puis augmente d’environ 4 cadres par période jusqu’à un maximum habituel de 22–33 cadres.</x:v>
      </x:c>
      <x:c r="G425" s="508" t="str">
        <x:v>Nombre observé de cadres couverts d’abeilles. Stable en hiver, il baisse lors du renouvellement printanier, puis augmente d’environ 4 cadres par période jusqu’à un maximum habituel de 22–33 cadres.</x:v>
      </x:c>
      <x:c r="H425" s="508" t="str">
        <x:v>Nombre observé de cadres couverts d’abeilles. Stable en hiver, il baisse lors du renouvellement printanier, puis augmente d’environ 4 cadres par période jusqu’à un maximum habituel de 22–33 cadres.</x:v>
      </x:c>
      <x:c r="I425" s="508" t="str">
        <x:v>Nombre observé de cadres couverts d’abeilles. Stable en hiver, il baisse lors du renouvellement printanier, puis augmente d’environ 4 cadres par période jusqu’à un maximum habituel de 22–33 cadres.</x:v>
      </x:c>
      <x:c r="J425" s="508" t="str">
        <x:v>Nombre observé de cadres couverts d’abeilles. Stable en hiver, il baisse lors du renouvellement printanier, puis augmente d’environ 4 cadres par période jusqu’à un maximum habituel de 22–33 cadres.</x:v>
      </x:c>
      <x:c r="K425" s="508" t="str">
        <x:v>Nombre observé de cadres couverts d’abeilles. Stable en hiver, il baisse lors du renouvellement printanier, puis augmente d’environ 4 cadres par période jusqu’à un maximum habituel de 22–33 cadres.</x:v>
      </x:c>
      <x:c r="L425" s="508" t="str">
        <x:v>Nombre observé de cadres couverts d’abeilles. Stable en hiver, il baisse lors du renouvellement printanier, puis augmente d’environ 4 cadres par période jusqu’à un maximum habituel de 22–33 cadres.</x:v>
      </x:c>
      <x:c r="M425" s="508" t="str">
        <x:v>Nombre observé de cadres couverts d’abeilles. Stable en hiver, il baisse lors du renouvellement printanier, puis augmente d’environ 4 cadres par période jusqu’à un maximum habituel de 22–33 cadres.</x:v>
      </x:c>
    </x:row>
    <x:row r="426" ht="18" customHeight="1">
      <x:c r="A426" s="498"/>
      <x:c r="B426" s="498"/>
      <x:c r="C426" s="498"/>
      <x:c r="D426" s="498"/>
      <x:c r="E426" s="498"/>
      <x:c r="F426" s="498"/>
      <x:c r="G426" s="498"/>
      <x:c r="H426" s="498"/>
      <x:c r="I426" s="498"/>
      <x:c r="J426" s="498"/>
      <x:c r="K426" s="498"/>
      <x:c r="L426" s="498"/>
      <x:c r="M426" s="498"/>
    </x:row>
    <x:row r="427" ht="18" customHeight="1">
      <x:c r="A427" s="498"/>
      <x:c r="B427" s="529" t="str">
        <x:v>Texte de la feuille · B170</x:v>
      </x:c>
      <x:c r="C427" s="529" t="str">
        <x:v>Texte de la feuille · B170</x:v>
      </x:c>
      <x:c r="D427" s="529" t="str">
        <x:v>Texte de la feuille · B170</x:v>
      </x:c>
      <x:c r="E427" s="529" t="str">
        <x:v>Texte de la feuille · B170</x:v>
      </x:c>
      <x:c r="F427" s="529" t="str">
        <x:v>Texte de la feuille · B170</x:v>
      </x:c>
      <x:c r="G427" s="529" t="str">
        <x:v>Texte de la feuille · B170</x:v>
      </x:c>
      <x:c r="H427" s="529" t="str">
        <x:v>Texte de la feuille · B170</x:v>
      </x:c>
      <x:c r="I427" s="529" t="str">
        <x:v>Texte de la feuille · B170</x:v>
      </x:c>
      <x:c r="J427" s="529" t="str">
        <x:v>Texte de la feuille · B170</x:v>
      </x:c>
      <x:c r="K427" s="529" t="str">
        <x:v>Texte de la feuille · B170</x:v>
      </x:c>
      <x:c r="L427" s="529" t="str">
        <x:v>Texte de la feuille · B170</x:v>
      </x:c>
      <x:c r="M427" s="529" t="str">
        <x:v>Texte de la feuille · B170</x:v>
      </x:c>
    </x:row>
    <x:row r="428" ht="56.400001525878906" customHeight="1">
      <x:c r="A428" s="498"/>
      <x:c r="B428" s="508" t="str">
        <x:v>C : colonie californienne sur 8 cadres utilisée pour les amandiers, dont des abeilles sont prélevées par secouage deux fois en avril. Saisir un « traitement » de 25 % en avril pour tenir compte des varroas emportés avec ces abeilles.</x:v>
      </x:c>
      <x:c r="C428" s="508" t="str">
        <x:v>C : colonie californienne sur 8 cadres utilisée pour les amandiers, dont des abeilles sont prélevées par secouage deux fois en avril. Saisir un « traitement » de 25 % en avril pour tenir compte des varroas emportés avec ces abeilles.</x:v>
      </x:c>
      <x:c r="D428" s="508" t="str">
        <x:v>C : colonie californienne sur 8 cadres utilisée pour les amandiers, dont des abeilles sont prélevées par secouage deux fois en avril. Saisir un « traitement » de 25 % en avril pour tenir compte des varroas emportés avec ces abeilles.</x:v>
      </x:c>
      <x:c r="E428" s="508" t="str">
        <x:v>C : colonie californienne sur 8 cadres utilisée pour les amandiers, dont des abeilles sont prélevées par secouage deux fois en avril. Saisir un « traitement » de 25 % en avril pour tenir compte des varroas emportés avec ces abeilles.</x:v>
      </x:c>
      <x:c r="F428" s="508" t="str">
        <x:v>C : colonie californienne sur 8 cadres utilisée pour les amandiers, dont des abeilles sont prélevées par secouage deux fois en avril. Saisir un « traitement » de 25 % en avril pour tenir compte des varroas emportés avec ces abeilles.</x:v>
      </x:c>
      <x:c r="G428" s="508" t="str">
        <x:v>C : colonie californienne sur 8 cadres utilisée pour les amandiers, dont des abeilles sont prélevées par secouage deux fois en avril. Saisir un « traitement » de 25 % en avril pour tenir compte des varroas emportés avec ces abeilles.</x:v>
      </x:c>
      <x:c r="H428" s="508" t="str">
        <x:v>C : colonie californienne sur 8 cadres utilisée pour les amandiers, dont des abeilles sont prélevées par secouage deux fois en avril. Saisir un « traitement » de 25 % en avril pour tenir compte des varroas emportés avec ces abeilles.</x:v>
      </x:c>
      <x:c r="I428" s="508" t="str">
        <x:v>C : colonie californienne sur 8 cadres utilisée pour les amandiers, dont des abeilles sont prélevées par secouage deux fois en avril. Saisir un « traitement » de 25 % en avril pour tenir compte des varroas emportés avec ces abeilles.</x:v>
      </x:c>
      <x:c r="J428" s="508" t="str">
        <x:v>C : colonie californienne sur 8 cadres utilisée pour les amandiers, dont des abeilles sont prélevées par secouage deux fois en avril. Saisir un « traitement » de 25 % en avril pour tenir compte des varroas emportés avec ces abeilles.</x:v>
      </x:c>
      <x:c r="K428" s="508" t="str">
        <x:v>C : colonie californienne sur 8 cadres utilisée pour les amandiers, dont des abeilles sont prélevées par secouage deux fois en avril. Saisir un « traitement » de 25 % en avril pour tenir compte des varroas emportés avec ces abeilles.</x:v>
      </x:c>
      <x:c r="L428" s="508" t="str">
        <x:v>C : colonie californienne sur 8 cadres utilisée pour les amandiers, dont des abeilles sont prélevées par secouage deux fois en avril. Saisir un « traitement » de 25 % en avril pour tenir compte des varroas emportés avec ces abeilles.</x:v>
      </x:c>
      <x:c r="M428" s="508" t="str">
        <x:v>C : colonie californienne sur 8 cadres utilisée pour les amandiers, dont des abeilles sont prélevées par secouage deux fois en avril. Saisir un « traitement » de 25 % en avril pour tenir compte des varroas emportés avec ces abeilles.</x:v>
      </x:c>
    </x:row>
    <x:row r="429" ht="18" customHeight="1">
      <x:c r="A429" s="498"/>
      <x:c r="B429" s="498"/>
      <x:c r="C429" s="498"/>
      <x:c r="D429" s="498"/>
      <x:c r="E429" s="498"/>
      <x:c r="F429" s="498"/>
      <x:c r="G429" s="498"/>
      <x:c r="H429" s="498"/>
      <x:c r="I429" s="498"/>
      <x:c r="J429" s="498"/>
      <x:c r="K429" s="498"/>
      <x:c r="L429" s="498"/>
      <x:c r="M429" s="498"/>
    </x:row>
    <x:row r="430" ht="18" customHeight="1">
      <x:c r="A430" s="498"/>
      <x:c r="B430" s="529" t="str">
        <x:v>Texte de la feuille · B198</x:v>
      </x:c>
      <x:c r="C430" s="529" t="str">
        <x:v>Texte de la feuille · B198</x:v>
      </x:c>
      <x:c r="D430" s="529" t="str">
        <x:v>Texte de la feuille · B198</x:v>
      </x:c>
      <x:c r="E430" s="529" t="str">
        <x:v>Texte de la feuille · B198</x:v>
      </x:c>
      <x:c r="F430" s="529" t="str">
        <x:v>Texte de la feuille · B198</x:v>
      </x:c>
      <x:c r="G430" s="529" t="str">
        <x:v>Texte de la feuille · B198</x:v>
      </x:c>
      <x:c r="H430" s="529" t="str">
        <x:v>Texte de la feuille · B198</x:v>
      </x:c>
      <x:c r="I430" s="529" t="str">
        <x:v>Texte de la feuille · B198</x:v>
      </x:c>
      <x:c r="J430" s="529" t="str">
        <x:v>Texte de la feuille · B198</x:v>
      </x:c>
      <x:c r="K430" s="529" t="str">
        <x:v>Texte de la feuille · B198</x:v>
      </x:c>
      <x:c r="L430" s="529" t="str">
        <x:v>Texte de la feuille · B198</x:v>
      </x:c>
      <x:c r="M430" s="529" t="str">
        <x:v>Texte de la feuille · B198</x:v>
      </x:c>
    </x:row>
    <x:row r="431" ht="56.400001525878906" customHeight="1">
      <x:c r="A431" s="498"/>
      <x:c r="B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C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D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E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F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G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H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I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J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K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L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c r="M431" s="508" t="str">
        <x:v>R : Ruches californiennes de Randy, divisées en 4 après la floraison des amandiers et traitées à l’acide oxalique (saisissez une réduction totale des varroas de 90 % au 1er avril, correspondant à la division en 4, au traitement oxalique et au retrait du cadre de mâles)</x:v>
      </x:c>
    </x:row>
    <x:row r="432" ht="18" customHeight="1">
      <x:c r="A432" s="498"/>
      <x:c r="B432" s="498"/>
      <x:c r="C432" s="498"/>
      <x:c r="D432" s="498"/>
      <x:c r="E432" s="498"/>
      <x:c r="F432" s="498"/>
      <x:c r="G432" s="498"/>
      <x:c r="H432" s="498"/>
      <x:c r="I432" s="498"/>
      <x:c r="J432" s="498"/>
      <x:c r="K432" s="498"/>
      <x:c r="L432" s="498"/>
      <x:c r="M432" s="498"/>
    </x:row>
    <x:row r="433" ht="18" customHeight="1">
      <x:c r="A433" s="498"/>
      <x:c r="B433" s="529" t="str">
        <x:v>Note de calcul — Randy Oliver · O25</x:v>
      </x:c>
      <x:c r="C433" s="529" t="str">
        <x:v>Note de calcul — Randy Oliver · O25</x:v>
      </x:c>
      <x:c r="D433" s="529" t="str">
        <x:v>Note de calcul — Randy Oliver · O25</x:v>
      </x:c>
      <x:c r="E433" s="529" t="str">
        <x:v>Note de calcul — Randy Oliver · O25</x:v>
      </x:c>
      <x:c r="F433" s="529" t="str">
        <x:v>Note de calcul — Randy Oliver · O25</x:v>
      </x:c>
      <x:c r="G433" s="529" t="str">
        <x:v>Note de calcul — Randy Oliver · O25</x:v>
      </x:c>
      <x:c r="H433" s="529" t="str">
        <x:v>Note de calcul — Randy Oliver · O25</x:v>
      </x:c>
      <x:c r="I433" s="529" t="str">
        <x:v>Note de calcul — Randy Oliver · O25</x:v>
      </x:c>
      <x:c r="J433" s="529" t="str">
        <x:v>Note de calcul — Randy Oliver · O25</x:v>
      </x:c>
      <x:c r="K433" s="529" t="str">
        <x:v>Note de calcul — Randy Oliver · O25</x:v>
      </x:c>
      <x:c r="L433" s="529" t="str">
        <x:v>Note de calcul — Randy Oliver · O25</x:v>
      </x:c>
      <x:c r="M433" s="529" t="str">
        <x:v>Note de calcul — Randy Oliver · O25</x:v>
      </x:c>
    </x:row>
    <x:row r="434" ht="31" customHeight="1">
      <x:c r="A434" s="498"/>
      <x:c r="B434" s="508" t="str">
        <x:v>Randy Oliver :</x:v>
      </x:c>
      <x:c r="C434" s="508" t="str">
        <x:v>Randy Oliver :</x:v>
      </x:c>
      <x:c r="D434" s="508" t="str">
        <x:v>Randy Oliver :</x:v>
      </x:c>
      <x:c r="E434" s="508" t="str">
        <x:v>Randy Oliver :</x:v>
      </x:c>
      <x:c r="F434" s="508" t="str">
        <x:v>Randy Oliver :</x:v>
      </x:c>
      <x:c r="G434" s="508" t="str">
        <x:v>Randy Oliver :</x:v>
      </x:c>
      <x:c r="H434" s="508" t="str">
        <x:v>Randy Oliver :</x:v>
      </x:c>
      <x:c r="I434" s="508" t="str">
        <x:v>Randy Oliver :</x:v>
      </x:c>
      <x:c r="J434" s="508" t="str">
        <x:v>Randy Oliver :</x:v>
      </x:c>
      <x:c r="K434" s="508" t="str">
        <x:v>Randy Oliver :</x:v>
      </x:c>
      <x:c r="L434" s="508" t="str">
        <x:v>Randy Oliver :</x:v>
      </x:c>
      <x:c r="M434" s="508" t="str">
        <x:v>Randy Oliver :</x:v>
      </x:c>
    </x:row>
    <x:row r="435" ht="41.599998474121094" customHeight="1">
      <x:c r="A435" s="498"/>
      <x:c r="B435" s="508" t="str">
        <x:v>Allen (1965) Effet de la disponibilité abondante de rayons à cellules de mâles sur les colonies d’abeilles, Journal of Apicultural Research 4(2): 109-119</x:v>
      </x:c>
      <x:c r="C435" s="508" t="str">
        <x:v>Allen (1965) Effet de la disponibilité abondante de rayons à cellules de mâles sur les colonies d’abeilles, Journal of Apicultural Research 4(2): 109-119</x:v>
      </x:c>
      <x:c r="D435" s="508" t="str">
        <x:v>Allen (1965) Effet de la disponibilité abondante de rayons à cellules de mâles sur les colonies d’abeilles, Journal of Apicultural Research 4(2): 109-119</x:v>
      </x:c>
      <x:c r="E435" s="508" t="str">
        <x:v>Allen (1965) Effet de la disponibilité abondante de rayons à cellules de mâles sur les colonies d’abeilles, Journal of Apicultural Research 4(2): 109-119</x:v>
      </x:c>
      <x:c r="F435" s="508" t="str">
        <x:v>Allen (1965) Effet de la disponibilité abondante de rayons à cellules de mâles sur les colonies d’abeilles, Journal of Apicultural Research 4(2): 109-119</x:v>
      </x:c>
      <x:c r="G435" s="508" t="str">
        <x:v>Allen (1965) Effet de la disponibilité abondante de rayons à cellules de mâles sur les colonies d’abeilles, Journal of Apicultural Research 4(2): 109-119</x:v>
      </x:c>
      <x:c r="H435" s="508" t="str">
        <x:v>Allen (1965) Effet de la disponibilité abondante de rayons à cellules de mâles sur les colonies d’abeilles, Journal of Apicultural Research 4(2): 109-119</x:v>
      </x:c>
      <x:c r="I435" s="508" t="str">
        <x:v>Allen (1965) Effet de la disponibilité abondante de rayons à cellules de mâles sur les colonies d’abeilles, Journal of Apicultural Research 4(2): 109-119</x:v>
      </x:c>
      <x:c r="J435" s="508" t="str">
        <x:v>Allen (1965) Effet de la disponibilité abondante de rayons à cellules de mâles sur les colonies d’abeilles, Journal of Apicultural Research 4(2): 109-119</x:v>
      </x:c>
      <x:c r="K435" s="508" t="str">
        <x:v>Allen (1965) Effet de la disponibilité abondante de rayons à cellules de mâles sur les colonies d’abeilles, Journal of Apicultural Research 4(2): 109-119</x:v>
      </x:c>
      <x:c r="L435" s="508" t="str">
        <x:v>Allen (1965) Effet de la disponibilité abondante de rayons à cellules de mâles sur les colonies d’abeilles, Journal of Apicultural Research 4(2): 109-119</x:v>
      </x:c>
      <x:c r="M435" s="508" t="str">
        <x:v>Allen (1965) Effet de la disponibilité abondante de rayons à cellules de mâles sur les colonies d’abeilles, Journal of Apicultural Research 4(2): 109-119</x:v>
      </x:c>
    </x:row>
    <x:row r="436" ht="18" customHeight="1">
      <x:c r="A436" s="498"/>
      <x:c r="B436" s="498"/>
      <x:c r="C436" s="498"/>
      <x:c r="D436" s="498"/>
      <x:c r="E436" s="498"/>
      <x:c r="F436" s="498"/>
      <x:c r="G436" s="498"/>
      <x:c r="H436" s="498"/>
      <x:c r="I436" s="498"/>
      <x:c r="J436" s="498"/>
      <x:c r="K436" s="498"/>
      <x:c r="L436" s="498"/>
      <x:c r="M436" s="498"/>
    </x:row>
    <x:row r="437" ht="18" customHeight="1">
      <x:c r="A437" s="498"/>
      <x:c r="B437" s="498"/>
      <x:c r="C437" s="498"/>
      <x:c r="D437" s="498"/>
      <x:c r="E437" s="498"/>
      <x:c r="F437" s="498"/>
      <x:c r="G437" s="498"/>
      <x:c r="H437" s="498"/>
      <x:c r="I437" s="498"/>
      <x:c r="J437" s="498"/>
      <x:c r="K437" s="498"/>
      <x:c r="L437" s="498"/>
      <x:c r="M437" s="498"/>
    </x:row>
    <x:row r="438" ht="18" customHeight="1">
      <x:c r="A438" s="498"/>
      <x:c r="B438" s="525" t="str">
        <x:v>Réduction annuelle nécessaire</x:v>
      </x:c>
      <x:c r="C438" s="525" t="str">
        <x:v>Réduction annuelle nécessaire</x:v>
      </x:c>
      <x:c r="D438" s="525" t="str">
        <x:v>Réduction annuelle nécessaire</x:v>
      </x:c>
      <x:c r="E438" s="525" t="str">
        <x:v>Réduction annuelle nécessaire</x:v>
      </x:c>
      <x:c r="F438" s="525" t="str">
        <x:v>Réduction annuelle nécessaire</x:v>
      </x:c>
      <x:c r="G438" s="525" t="str">
        <x:v>Réduction annuelle nécessaire</x:v>
      </x:c>
      <x:c r="H438" s="525" t="str">
        <x:v>Réduction annuelle nécessaire</x:v>
      </x:c>
      <x:c r="I438" s="525" t="str">
        <x:v>Réduction annuelle nécessaire</x:v>
      </x:c>
      <x:c r="J438" s="525" t="str">
        <x:v>Réduction annuelle nécessaire</x:v>
      </x:c>
      <x:c r="K438" s="525" t="str">
        <x:v>Réduction annuelle nécessaire</x:v>
      </x:c>
      <x:c r="L438" s="525" t="str">
        <x:v>Réduction annuelle nécessaire</x:v>
      </x:c>
      <x:c r="M438" s="525" t="str">
        <x:v>Réduction annuelle nécessaire</x:v>
      </x:c>
    </x:row>
    <x:row r="439" ht="18" customHeight="1">
      <x:c r="A439" s="498"/>
      <x:c r="B439" s="525" t="str">
        <x:v>Réduction annuelle nécessaire</x:v>
      </x:c>
      <x:c r="C439" s="525" t="str">
        <x:v>Réduction annuelle nécessaire</x:v>
      </x:c>
      <x:c r="D439" s="525" t="str">
        <x:v>Réduction annuelle nécessaire</x:v>
      </x:c>
      <x:c r="E439" s="525" t="str">
        <x:v>Réduction annuelle nécessaire</x:v>
      </x:c>
      <x:c r="F439" s="525" t="str">
        <x:v>Réduction annuelle nécessaire</x:v>
      </x:c>
      <x:c r="G439" s="525" t="str">
        <x:v>Réduction annuelle nécessaire</x:v>
      </x:c>
      <x:c r="H439" s="525" t="str">
        <x:v>Réduction annuelle nécessaire</x:v>
      </x:c>
      <x:c r="I439" s="525" t="str">
        <x:v>Réduction annuelle nécessaire</x:v>
      </x:c>
      <x:c r="J439" s="525" t="str">
        <x:v>Réduction annuelle nécessaire</x:v>
      </x:c>
      <x:c r="K439" s="525" t="str">
        <x:v>Réduction annuelle nécessaire</x:v>
      </x:c>
      <x:c r="L439" s="525" t="str">
        <x:v>Réduction annuelle nécessaire</x:v>
      </x:c>
      <x:c r="M439" s="525" t="str">
        <x:v>Réduction annuelle nécessaire</x:v>
      </x:c>
    </x:row>
    <x:row r="440" ht="18" customHeight="1">
      <x:c r="A440" s="498"/>
      <x:c r="B440" s="498"/>
      <x:c r="C440" s="498"/>
      <x:c r="D440" s="498"/>
      <x:c r="E440" s="498"/>
      <x:c r="F440" s="498"/>
      <x:c r="G440" s="498"/>
      <x:c r="H440" s="498"/>
      <x:c r="I440" s="498"/>
      <x:c r="J440" s="498"/>
      <x:c r="K440" s="498"/>
      <x:c r="L440" s="498"/>
      <x:c r="M440" s="498"/>
    </x:row>
    <x:row r="441" ht="18" customHeight="1">
      <x:c r="A441" s="498"/>
      <x:c r="B441" s="529" t="str">
        <x:v>Explication de Randy Oliver · A1</x:v>
      </x:c>
      <x:c r="C441" s="529" t="str">
        <x:v>Explication de Randy Oliver · A1</x:v>
      </x:c>
      <x:c r="D441" s="529" t="str">
        <x:v>Explication de Randy Oliver · A1</x:v>
      </x:c>
      <x:c r="E441" s="529" t="str">
        <x:v>Explication de Randy Oliver · A1</x:v>
      </x:c>
      <x:c r="F441" s="529" t="str">
        <x:v>Explication de Randy Oliver · A1</x:v>
      </x:c>
      <x:c r="G441" s="529" t="str">
        <x:v>Explication de Randy Oliver · A1</x:v>
      </x:c>
      <x:c r="H441" s="529" t="str">
        <x:v>Explication de Randy Oliver · A1</x:v>
      </x:c>
      <x:c r="I441" s="529" t="str">
        <x:v>Explication de Randy Oliver · A1</x:v>
      </x:c>
      <x:c r="J441" s="529" t="str">
        <x:v>Explication de Randy Oliver · A1</x:v>
      </x:c>
      <x:c r="K441" s="529" t="str">
        <x:v>Explication de Randy Oliver · A1</x:v>
      </x:c>
      <x:c r="L441" s="529" t="str">
        <x:v>Explication de Randy Oliver · A1</x:v>
      </x:c>
      <x:c r="M441" s="529" t="str">
        <x:v>Explication de Randy Oliver · A1</x:v>
      </x:c>
    </x:row>
    <x:row r="442" ht="71.19999694824219" customHeight="1">
      <x:c r="A442" s="498"/>
      <x:c r="B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C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D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E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F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G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H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I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J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K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L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c r="M442" s="508" t="str">
        <x:v>Très simplifiée, la dynamique de la population de varroas se divise en deux phases : augmentation en présence de couvain et diminution en son absence. Pendant la phase d’augmentation, le taux logarithmique quotidien r moyen des lignées non résistantes est d’environ 0,021/jour ; dans la grappe hivernale, il est d’environ −0,005/jour.</x:v>
      </x:c>
    </x:row>
    <x:row r="443" ht="115.5999984741211" customHeight="1">
      <x:c r="A443" s="498"/>
      <x:c r="B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C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D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E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F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G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H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I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J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K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L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c r="M443" s="508" t="str">
        <x:v>Ainsi, plus la période sans couvain est longue, plus la phase d’accroissement est courte et plus la phase de déclin est longue. Pour que la situation soit durable, l’apiculteur doit, d’une manière ou d’une autre, ramener la population finale de varroas au niveau de départ. Par exemple, diviser la ruche en trois réduirait de 33 % la charge totale en varroas de chaque division. Il est également possible d’appliquer des traitements. Dans un modèle aussi grossier et simplifié que celui-ci, le moment des traitements ne fait aucune différence, mais le modèle peut donner une idée du degré de réduction des varroas nécessaire, par quelque moyen que ce soit, au cours d’une saison.</x:v>
      </x:c>
    </x:row>
    <x:row r="444" ht="41.599998474121094" customHeight="1">
      <x:c r="A444" s="498"/>
      <x:c r="B444" s="508" t="str">
        <x:v>Dans le modèle ci-dessous, vous pouvez saisir des valeurs dans n’importe quelle cellule jaune. Consultez l’onglet « Modèle principal » pour un modèle plus complet.</x:v>
      </x:c>
      <x:c r="C444" s="508" t="str">
        <x:v>Dans le modèle ci-dessous, vous pouvez saisir des valeurs dans n’importe quelle cellule jaune. Consultez l’onglet « Modèle principal » pour un modèle plus complet.</x:v>
      </x:c>
      <x:c r="D444" s="508" t="str">
        <x:v>Dans le modèle ci-dessous, vous pouvez saisir des valeurs dans n’importe quelle cellule jaune. Consultez l’onglet « Modèle principal » pour un modèle plus complet.</x:v>
      </x:c>
      <x:c r="E444" s="508" t="str">
        <x:v>Dans le modèle ci-dessous, vous pouvez saisir des valeurs dans n’importe quelle cellule jaune. Consultez l’onglet « Modèle principal » pour un modèle plus complet.</x:v>
      </x:c>
      <x:c r="F444" s="508" t="str">
        <x:v>Dans le modèle ci-dessous, vous pouvez saisir des valeurs dans n’importe quelle cellule jaune. Consultez l’onglet « Modèle principal » pour un modèle plus complet.</x:v>
      </x:c>
      <x:c r="G444" s="508" t="str">
        <x:v>Dans le modèle ci-dessous, vous pouvez saisir des valeurs dans n’importe quelle cellule jaune. Consultez l’onglet « Modèle principal » pour un modèle plus complet.</x:v>
      </x:c>
      <x:c r="H444" s="508" t="str">
        <x:v>Dans le modèle ci-dessous, vous pouvez saisir des valeurs dans n’importe quelle cellule jaune. Consultez l’onglet « Modèle principal » pour un modèle plus complet.</x:v>
      </x:c>
      <x:c r="I444" s="508" t="str">
        <x:v>Dans le modèle ci-dessous, vous pouvez saisir des valeurs dans n’importe quelle cellule jaune. Consultez l’onglet « Modèle principal » pour un modèle plus complet.</x:v>
      </x:c>
      <x:c r="J444" s="508" t="str">
        <x:v>Dans le modèle ci-dessous, vous pouvez saisir des valeurs dans n’importe quelle cellule jaune. Consultez l’onglet « Modèle principal » pour un modèle plus complet.</x:v>
      </x:c>
      <x:c r="K444" s="508" t="str">
        <x:v>Dans le modèle ci-dessous, vous pouvez saisir des valeurs dans n’importe quelle cellule jaune. Consultez l’onglet « Modèle principal » pour un modèle plus complet.</x:v>
      </x:c>
      <x:c r="L444" s="508" t="str">
        <x:v>Dans le modèle ci-dessous, vous pouvez saisir des valeurs dans n’importe quelle cellule jaune. Consultez l’onglet « Modèle principal » pour un modèle plus complet.</x:v>
      </x:c>
      <x:c r="M444" s="508" t="str">
        <x:v>Dans le modèle ci-dessous, vous pouvez saisir des valeurs dans n’importe quelle cellule jaune. Consultez l’onglet « Modèle principal » pour un modèle plus complet.</x:v>
      </x:c>
    </x:row>
    <x:row r="445" ht="18" customHeight="1">
      <x:c r="A445" s="498"/>
      <x:c r="B445" s="498"/>
      <x:c r="C445" s="498"/>
      <x:c r="D445" s="498"/>
      <x:c r="E445" s="498"/>
      <x:c r="F445" s="498"/>
      <x:c r="G445" s="498"/>
      <x:c r="H445" s="498"/>
      <x:c r="I445" s="498"/>
      <x:c r="J445" s="498"/>
      <x:c r="K445" s="498"/>
      <x:c r="L445" s="498"/>
      <x:c r="M445" s="498"/>
    </x:row>
    <x:row r="446" ht="18" customHeight="1">
      <x:c r="A446" s="498"/>
      <x:c r="B446" s="529" t="str">
        <x:v>Explication de Randy Oliver · K35</x:v>
      </x:c>
      <x:c r="C446" s="529" t="str">
        <x:v>Explication de Randy Oliver · K35</x:v>
      </x:c>
      <x:c r="D446" s="529" t="str">
        <x:v>Explication de Randy Oliver · K35</x:v>
      </x:c>
      <x:c r="E446" s="529" t="str">
        <x:v>Explication de Randy Oliver · K35</x:v>
      </x:c>
      <x:c r="F446" s="529" t="str">
        <x:v>Explication de Randy Oliver · K35</x:v>
      </x:c>
      <x:c r="G446" s="529" t="str">
        <x:v>Explication de Randy Oliver · K35</x:v>
      </x:c>
      <x:c r="H446" s="529" t="str">
        <x:v>Explication de Randy Oliver · K35</x:v>
      </x:c>
      <x:c r="I446" s="529" t="str">
        <x:v>Explication de Randy Oliver · K35</x:v>
      </x:c>
      <x:c r="J446" s="529" t="str">
        <x:v>Explication de Randy Oliver · K35</x:v>
      </x:c>
      <x:c r="K446" s="529" t="str">
        <x:v>Explication de Randy Oliver · K35</x:v>
      </x:c>
      <x:c r="L446" s="529" t="str">
        <x:v>Explication de Randy Oliver · K35</x:v>
      </x:c>
      <x:c r="M446" s="529" t="str">
        <x:v>Explication de Randy Oliver · K35</x:v>
      </x:c>
    </x:row>
    <x:row r="447" ht="41.599998474121094" customHeight="1">
      <x:c r="A447" s="498"/>
      <x:c r="B447" s="508" t="str">
        <x:v>Il est facile de comprendre pourquoi la gestion du varroa est beaucoup plus difficile en Californie, au Texas ou en Floride que dans les régions plus septentrionales.</x:v>
      </x:c>
      <x:c r="C447" s="508" t="str">
        <x:v>Il est facile de comprendre pourquoi la gestion du varroa est beaucoup plus difficile en Californie, au Texas ou en Floride que dans les régions plus septentrionales.</x:v>
      </x:c>
      <x:c r="D447" s="508" t="str">
        <x:v>Il est facile de comprendre pourquoi la gestion du varroa est beaucoup plus difficile en Californie, au Texas ou en Floride que dans les régions plus septentrionales.</x:v>
      </x:c>
      <x:c r="E447" s="508" t="str">
        <x:v>Il est facile de comprendre pourquoi la gestion du varroa est beaucoup plus difficile en Californie, au Texas ou en Floride que dans les régions plus septentrionales.</x:v>
      </x:c>
      <x:c r="F447" s="508" t="str">
        <x:v>Il est facile de comprendre pourquoi la gestion du varroa est beaucoup plus difficile en Californie, au Texas ou en Floride que dans les régions plus septentrionales.</x:v>
      </x:c>
      <x:c r="G447" s="508" t="str">
        <x:v>Il est facile de comprendre pourquoi la gestion du varroa est beaucoup plus difficile en Californie, au Texas ou en Floride que dans les régions plus septentrionales.</x:v>
      </x:c>
      <x:c r="H447" s="508" t="str">
        <x:v>Il est facile de comprendre pourquoi la gestion du varroa est beaucoup plus difficile en Californie, au Texas ou en Floride que dans les régions plus septentrionales.</x:v>
      </x:c>
      <x:c r="I447" s="508" t="str">
        <x:v>Il est facile de comprendre pourquoi la gestion du varroa est beaucoup plus difficile en Californie, au Texas ou en Floride que dans les régions plus septentrionales.</x:v>
      </x:c>
      <x:c r="J447" s="508" t="str">
        <x:v>Il est facile de comprendre pourquoi la gestion du varroa est beaucoup plus difficile en Californie, au Texas ou en Floride que dans les régions plus septentrionales.</x:v>
      </x:c>
      <x:c r="K447" s="508" t="str">
        <x:v>Il est facile de comprendre pourquoi la gestion du varroa est beaucoup plus difficile en Californie, au Texas ou en Floride que dans les régions plus septentrionales.</x:v>
      </x:c>
      <x:c r="L447" s="508" t="str">
        <x:v>Il est facile de comprendre pourquoi la gestion du varroa est beaucoup plus difficile en Californie, au Texas ou en Floride que dans les régions plus septentrionales.</x:v>
      </x:c>
      <x:c r="M447" s="508" t="str">
        <x:v>Il est facile de comprendre pourquoi la gestion du varroa est beaucoup plus difficile en Californie, au Texas ou en Floride que dans les régions plus septentrionales.</x:v>
      </x:c>
    </x:row>
    <x:row r="448" ht="18" customHeight="1">
      <x:c r="A448" s="498"/>
      <x:c r="B448" s="498"/>
      <x:c r="C448" s="498"/>
      <x:c r="D448" s="498"/>
      <x:c r="E448" s="498"/>
      <x:c r="F448" s="498"/>
      <x:c r="G448" s="498"/>
      <x:c r="H448" s="498"/>
      <x:c r="I448" s="498"/>
      <x:c r="J448" s="498"/>
      <x:c r="K448" s="498"/>
      <x:c r="L448" s="498"/>
      <x:c r="M448" s="498"/>
    </x:row>
    <x:row r="449" ht="18" customHeight="1">
      <x:c r="A449" s="498"/>
      <x:c r="B449" s="529" t="str">
        <x:v>Explication de Randy Oliver · Y27</x:v>
      </x:c>
      <x:c r="C449" s="529" t="str">
        <x:v>Explication de Randy Oliver · Y27</x:v>
      </x:c>
      <x:c r="D449" s="529" t="str">
        <x:v>Explication de Randy Oliver · Y27</x:v>
      </x:c>
      <x:c r="E449" s="529" t="str">
        <x:v>Explication de Randy Oliver · Y27</x:v>
      </x:c>
      <x:c r="F449" s="529" t="str">
        <x:v>Explication de Randy Oliver · Y27</x:v>
      </x:c>
      <x:c r="G449" s="529" t="str">
        <x:v>Explication de Randy Oliver · Y27</x:v>
      </x:c>
      <x:c r="H449" s="529" t="str">
        <x:v>Explication de Randy Oliver · Y27</x:v>
      </x:c>
      <x:c r="I449" s="529" t="str">
        <x:v>Explication de Randy Oliver · Y27</x:v>
      </x:c>
      <x:c r="J449" s="529" t="str">
        <x:v>Explication de Randy Oliver · Y27</x:v>
      </x:c>
      <x:c r="K449" s="529" t="str">
        <x:v>Explication de Randy Oliver · Y27</x:v>
      </x:c>
      <x:c r="L449" s="529" t="str">
        <x:v>Explication de Randy Oliver · Y27</x:v>
      </x:c>
      <x:c r="M449" s="529" t="str">
        <x:v>Explication de Randy Oliver · Y27</x:v>
      </x:c>
    </x:row>
    <x:row r="450" ht="56.400001525878906" customHeight="1">
      <x:c r="A450" s="498"/>
      <x:c r="B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C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D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E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F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G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H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I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J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K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L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c r="M450" s="508" t="str">
        <x:v>Taux habituels d’infestation par les varroas phorétiques chez les apiculteurs des États-Unis, d’après Bee Informed Partnership, 2016. Multiplier les valeurs de l’axe vertical par 3 pour obtenir les comptages par lavage à l’alcool d’environ 120 mL d’abeilles (½ tasse dans l’original).</x:v>
      </x:c>
    </x:row>
    <x:row r="451" ht="18" customHeight="1">
      <x:c r="A451" s="498"/>
      <x:c r="B451" s="498"/>
      <x:c r="C451" s="498"/>
      <x:c r="D451" s="498"/>
      <x:c r="E451" s="498"/>
      <x:c r="F451" s="498"/>
      <x:c r="G451" s="498"/>
      <x:c r="H451" s="498"/>
      <x:c r="I451" s="498"/>
      <x:c r="J451" s="498"/>
      <x:c r="K451" s="498"/>
      <x:c r="L451" s="498"/>
      <x:c r="M451" s="498"/>
    </x:row>
    <x:row r="452" ht="18" customHeight="1">
      <x:c r="A452" s="498"/>
      <x:c r="B452" s="529" t="str">
        <x:v>Texte de la feuille · A11</x:v>
      </x:c>
      <x:c r="C452" s="529" t="str">
        <x:v>Texte de la feuille · A11</x:v>
      </x:c>
      <x:c r="D452" s="529" t="str">
        <x:v>Texte de la feuille · A11</x:v>
      </x:c>
      <x:c r="E452" s="529" t="str">
        <x:v>Texte de la feuille · A11</x:v>
      </x:c>
      <x:c r="F452" s="529" t="str">
        <x:v>Texte de la feuille · A11</x:v>
      </x:c>
      <x:c r="G452" s="529" t="str">
        <x:v>Texte de la feuille · A11</x:v>
      </x:c>
      <x:c r="H452" s="529" t="str">
        <x:v>Texte de la feuille · A11</x:v>
      </x:c>
      <x:c r="I452" s="529" t="str">
        <x:v>Texte de la feuille · A11</x:v>
      </x:c>
      <x:c r="J452" s="529" t="str">
        <x:v>Texte de la feuille · A11</x:v>
      </x:c>
      <x:c r="K452" s="529" t="str">
        <x:v>Texte de la feuille · A11</x:v>
      </x:c>
      <x:c r="L452" s="529" t="str">
        <x:v>Texte de la feuille · A11</x:v>
      </x:c>
      <x:c r="M452" s="529" t="str">
        <x:v>Texte de la feuille · A11</x:v>
      </x:c>
    </x:row>
    <x:row r="453" ht="56.400001525878906" customHeight="1">
      <x:c r="A453" s="498"/>
      <x:c r="B453" s="508" t="str">
        <x:v>Il n’est pas nécessaire de modifier ces cellules, mais vous pouvez le faire pour voir l’effet des caractères de résistance sur le succès reproductif des varroas, ou celui d’un comportement de toilettage accru.</x:v>
      </x:c>
      <x:c r="C453" s="508" t="str">
        <x:v>Il n’est pas nécessaire de modifier ces cellules, mais vous pouvez le faire pour voir l’effet des caractères de résistance sur le succès reproductif des varroas, ou celui d’un comportement de toilettage accru.</x:v>
      </x:c>
      <x:c r="D453" s="508" t="str">
        <x:v>Il n’est pas nécessaire de modifier ces cellules, mais vous pouvez le faire pour voir l’effet des caractères de résistance sur le succès reproductif des varroas, ou celui d’un comportement de toilettage accru.</x:v>
      </x:c>
      <x:c r="E453" s="508" t="str">
        <x:v>Il n’est pas nécessaire de modifier ces cellules, mais vous pouvez le faire pour voir l’effet des caractères de résistance sur le succès reproductif des varroas, ou celui d’un comportement de toilettage accru.</x:v>
      </x:c>
      <x:c r="F453" s="508" t="str">
        <x:v>Il n’est pas nécessaire de modifier ces cellules, mais vous pouvez le faire pour voir l’effet des caractères de résistance sur le succès reproductif des varroas, ou celui d’un comportement de toilettage accru.</x:v>
      </x:c>
      <x:c r="G453" s="508" t="str">
        <x:v>Il n’est pas nécessaire de modifier ces cellules, mais vous pouvez le faire pour voir l’effet des caractères de résistance sur le succès reproductif des varroas, ou celui d’un comportement de toilettage accru.</x:v>
      </x:c>
      <x:c r="H453" s="508" t="str">
        <x:v>Il n’est pas nécessaire de modifier ces cellules, mais vous pouvez le faire pour voir l’effet des caractères de résistance sur le succès reproductif des varroas, ou celui d’un comportement de toilettage accru.</x:v>
      </x:c>
      <x:c r="I453" s="508" t="str">
        <x:v>Il n’est pas nécessaire de modifier ces cellules, mais vous pouvez le faire pour voir l’effet des caractères de résistance sur le succès reproductif des varroas, ou celui d’un comportement de toilettage accru.</x:v>
      </x:c>
      <x:c r="J453" s="508" t="str">
        <x:v>Il n’est pas nécessaire de modifier ces cellules, mais vous pouvez le faire pour voir l’effet des caractères de résistance sur le succès reproductif des varroas, ou celui d’un comportement de toilettage accru.</x:v>
      </x:c>
      <x:c r="K453" s="508" t="str">
        <x:v>Il n’est pas nécessaire de modifier ces cellules, mais vous pouvez le faire pour voir l’effet des caractères de résistance sur le succès reproductif des varroas, ou celui d’un comportement de toilettage accru.</x:v>
      </x:c>
      <x:c r="L453" s="508" t="str">
        <x:v>Il n’est pas nécessaire de modifier ces cellules, mais vous pouvez le faire pour voir l’effet des caractères de résistance sur le succès reproductif des varroas, ou celui d’un comportement de toilettage accru.</x:v>
      </x:c>
      <x:c r="M453" s="508" t="str">
        <x:v>Il n’est pas nécessaire de modifier ces cellules, mais vous pouvez le faire pour voir l’effet des caractères de résistance sur le succès reproductif des varroas, ou celui d’un comportement de toilettage accru.</x:v>
      </x:c>
    </x:row>
    <x:row r="454" ht="18" customHeight="1">
      <x:c r="A454" s="498"/>
      <x:c r="B454" s="498"/>
      <x:c r="C454" s="498"/>
      <x:c r="D454" s="498"/>
      <x:c r="E454" s="498"/>
      <x:c r="F454" s="498"/>
      <x:c r="G454" s="498"/>
      <x:c r="H454" s="498"/>
      <x:c r="I454" s="498"/>
      <x:c r="J454" s="498"/>
      <x:c r="K454" s="498"/>
      <x:c r="L454" s="498"/>
      <x:c r="M454" s="498"/>
    </x:row>
    <x:row r="455" ht="18" customHeight="1">
      <x:c r="A455" s="498"/>
      <x:c r="B455" s="529" t="str">
        <x:v>Texte de la feuille · F44</x:v>
      </x:c>
      <x:c r="C455" s="529" t="str">
        <x:v>Texte de la feuille · F44</x:v>
      </x:c>
      <x:c r="D455" s="529" t="str">
        <x:v>Texte de la feuille · F44</x:v>
      </x:c>
      <x:c r="E455" s="529" t="str">
        <x:v>Texte de la feuille · F44</x:v>
      </x:c>
      <x:c r="F455" s="529" t="str">
        <x:v>Texte de la feuille · F44</x:v>
      </x:c>
      <x:c r="G455" s="529" t="str">
        <x:v>Texte de la feuille · F44</x:v>
      </x:c>
      <x:c r="H455" s="529" t="str">
        <x:v>Texte de la feuille · F44</x:v>
      </x:c>
      <x:c r="I455" s="529" t="str">
        <x:v>Texte de la feuille · F44</x:v>
      </x:c>
      <x:c r="J455" s="529" t="str">
        <x:v>Texte de la feuille · F44</x:v>
      </x:c>
      <x:c r="K455" s="529" t="str">
        <x:v>Texte de la feuille · F44</x:v>
      </x:c>
      <x:c r="L455" s="529" t="str">
        <x:v>Texte de la feuille · F44</x:v>
      </x:c>
      <x:c r="M455" s="529" t="str">
        <x:v>Texte de la feuille · F44</x:v>
      </x:c>
    </x:row>
    <x:row r="456" ht="41.599998474121094" customHeight="1">
      <x:c r="A456" s="498"/>
      <x:c r="B456" s="508" t="str">
        <x:v>Saisir le pourcentage de mortalité quotidienne des varroas (habituellement 0,5 %) ; format de saisie : 0,005 pour 0,5 % par jour.</x:v>
      </x:c>
      <x:c r="C456" s="508" t="str">
        <x:v>Saisir le pourcentage de mortalité quotidienne des varroas (habituellement 0,5 %) ; format de saisie : 0,005 pour 0,5 % par jour.</x:v>
      </x:c>
      <x:c r="D456" s="508" t="str">
        <x:v>Saisir le pourcentage de mortalité quotidienne des varroas (habituellement 0,5 %) ; format de saisie : 0,005 pour 0,5 % par jour.</x:v>
      </x:c>
      <x:c r="E456" s="508" t="str">
        <x:v>Saisir le pourcentage de mortalité quotidienne des varroas (habituellement 0,5 %) ; format de saisie : 0,005 pour 0,5 % par jour.</x:v>
      </x:c>
      <x:c r="F456" s="508" t="str">
        <x:v>Saisir le pourcentage de mortalité quotidienne des varroas (habituellement 0,5 %) ; format de saisie : 0,005 pour 0,5 % par jour.</x:v>
      </x:c>
      <x:c r="G456" s="508" t="str">
        <x:v>Saisir le pourcentage de mortalité quotidienne des varroas (habituellement 0,5 %) ; format de saisie : 0,005 pour 0,5 % par jour.</x:v>
      </x:c>
      <x:c r="H456" s="508" t="str">
        <x:v>Saisir le pourcentage de mortalité quotidienne des varroas (habituellement 0,5 %) ; format de saisie : 0,005 pour 0,5 % par jour.</x:v>
      </x:c>
      <x:c r="I456" s="508" t="str">
        <x:v>Saisir le pourcentage de mortalité quotidienne des varroas (habituellement 0,5 %) ; format de saisie : 0,005 pour 0,5 % par jour.</x:v>
      </x:c>
      <x:c r="J456" s="508" t="str">
        <x:v>Saisir le pourcentage de mortalité quotidienne des varroas (habituellement 0,5 %) ; format de saisie : 0,005 pour 0,5 % par jour.</x:v>
      </x:c>
      <x:c r="K456" s="508" t="str">
        <x:v>Saisir le pourcentage de mortalité quotidienne des varroas (habituellement 0,5 %) ; format de saisie : 0,005 pour 0,5 % par jour.</x:v>
      </x:c>
      <x:c r="L456" s="508" t="str">
        <x:v>Saisir le pourcentage de mortalité quotidienne des varroas (habituellement 0,5 %) ; format de saisie : 0,005 pour 0,5 % par jour.</x:v>
      </x:c>
      <x:c r="M456" s="508" t="str">
        <x:v>Saisir le pourcentage de mortalité quotidienne des varroas (habituellement 0,5 %) ; format de saisie : 0,005 pour 0,5 % par jour.</x:v>
      </x:c>
    </x:row>
    <x:row r="457" ht="18" customHeight="1">
      <x:c r="A457" s="498"/>
      <x:c r="B457" s="498"/>
      <x:c r="C457" s="498"/>
      <x:c r="D457" s="498"/>
      <x:c r="E457" s="498"/>
      <x:c r="F457" s="498"/>
      <x:c r="G457" s="498"/>
      <x:c r="H457" s="498"/>
      <x:c r="I457" s="498"/>
      <x:c r="J457" s="498"/>
      <x:c r="K457" s="498"/>
      <x:c r="L457" s="498"/>
      <x:c r="M457" s="498"/>
    </x:row>
    <x:row r="458" ht="18" customHeight="1">
      <x:c r="A458" s="498"/>
      <x:c r="B458" s="498"/>
      <x:c r="C458" s="498"/>
      <x:c r="D458" s="498"/>
      <x:c r="E458" s="498"/>
      <x:c r="F458" s="498"/>
      <x:c r="G458" s="498"/>
      <x:c r="H458" s="498"/>
      <x:c r="I458" s="498"/>
      <x:c r="J458" s="498"/>
      <x:c r="K458" s="498"/>
      <x:c r="L458" s="498"/>
      <x:c r="M458" s="498"/>
    </x:row>
    <x:row r="459" ht="18" customHeight="1">
      <x:c r="A459" s="498"/>
      <x:c r="B459" s="525" t="str">
        <x:v>Immigration de varroas</x:v>
      </x:c>
      <x:c r="C459" s="525" t="str">
        <x:v>Immigration de varroas</x:v>
      </x:c>
      <x:c r="D459" s="525" t="str">
        <x:v>Immigration de varroas</x:v>
      </x:c>
      <x:c r="E459" s="525" t="str">
        <x:v>Immigration de varroas</x:v>
      </x:c>
      <x:c r="F459" s="525" t="str">
        <x:v>Immigration de varroas</x:v>
      </x:c>
      <x:c r="G459" s="525" t="str">
        <x:v>Immigration de varroas</x:v>
      </x:c>
      <x:c r="H459" s="525" t="str">
        <x:v>Immigration de varroas</x:v>
      </x:c>
      <x:c r="I459" s="525" t="str">
        <x:v>Immigration de varroas</x:v>
      </x:c>
      <x:c r="J459" s="525" t="str">
        <x:v>Immigration de varroas</x:v>
      </x:c>
      <x:c r="K459" s="525" t="str">
        <x:v>Immigration de varroas</x:v>
      </x:c>
      <x:c r="L459" s="525" t="str">
        <x:v>Immigration de varroas</x:v>
      </x:c>
      <x:c r="M459" s="525" t="str">
        <x:v>Immigration de varroas</x:v>
      </x:c>
    </x:row>
    <x:row r="460" ht="18" customHeight="1">
      <x:c r="A460" s="498"/>
      <x:c r="B460" s="525" t="str">
        <x:v>Immigration de varroas</x:v>
      </x:c>
      <x:c r="C460" s="525" t="str">
        <x:v>Immigration de varroas</x:v>
      </x:c>
      <x:c r="D460" s="525" t="str">
        <x:v>Immigration de varroas</x:v>
      </x:c>
      <x:c r="E460" s="525" t="str">
        <x:v>Immigration de varroas</x:v>
      </x:c>
      <x:c r="F460" s="525" t="str">
        <x:v>Immigration de varroas</x:v>
      </x:c>
      <x:c r="G460" s="525" t="str">
        <x:v>Immigration de varroas</x:v>
      </x:c>
      <x:c r="H460" s="525" t="str">
        <x:v>Immigration de varroas</x:v>
      </x:c>
      <x:c r="I460" s="525" t="str">
        <x:v>Immigration de varroas</x:v>
      </x:c>
      <x:c r="J460" s="525" t="str">
        <x:v>Immigration de varroas</x:v>
      </x:c>
      <x:c r="K460" s="525" t="str">
        <x:v>Immigration de varroas</x:v>
      </x:c>
      <x:c r="L460" s="525" t="str">
        <x:v>Immigration de varroas</x:v>
      </x:c>
      <x:c r="M460" s="525" t="str">
        <x:v>Immigration de varroas</x:v>
      </x:c>
    </x:row>
    <x:row r="461" ht="18" customHeight="1">
      <x:c r="A461" s="498"/>
      <x:c r="B461" s="498"/>
      <x:c r="C461" s="498"/>
      <x:c r="D461" s="498"/>
      <x:c r="E461" s="498"/>
      <x:c r="F461" s="498"/>
      <x:c r="G461" s="498"/>
      <x:c r="H461" s="498"/>
      <x:c r="I461" s="498"/>
      <x:c r="J461" s="498"/>
      <x:c r="K461" s="498"/>
      <x:c r="L461" s="498"/>
      <x:c r="M461" s="498"/>
    </x:row>
    <x:row r="462" ht="18" customHeight="1">
      <x:c r="A462" s="498"/>
      <x:c r="B462" s="529" t="str">
        <x:v>Explication de Randy Oliver · D1</x:v>
      </x:c>
      <x:c r="C462" s="529" t="str">
        <x:v>Explication de Randy Oliver · D1</x:v>
      </x:c>
      <x:c r="D462" s="529" t="str">
        <x:v>Explication de Randy Oliver · D1</x:v>
      </x:c>
      <x:c r="E462" s="529" t="str">
        <x:v>Explication de Randy Oliver · D1</x:v>
      </x:c>
      <x:c r="F462" s="529" t="str">
        <x:v>Explication de Randy Oliver · D1</x:v>
      </x:c>
      <x:c r="G462" s="529" t="str">
        <x:v>Explication de Randy Oliver · D1</x:v>
      </x:c>
      <x:c r="H462" s="529" t="str">
        <x:v>Explication de Randy Oliver · D1</x:v>
      </x:c>
      <x:c r="I462" s="529" t="str">
        <x:v>Explication de Randy Oliver · D1</x:v>
      </x:c>
      <x:c r="J462" s="529" t="str">
        <x:v>Explication de Randy Oliver · D1</x:v>
      </x:c>
      <x:c r="K462" s="529" t="str">
        <x:v>Explication de Randy Oliver · D1</x:v>
      </x:c>
      <x:c r="L462" s="529" t="str">
        <x:v>Explication de Randy Oliver · D1</x:v>
      </x:c>
      <x:c r="M462" s="529" t="str">
        <x:v>Explication de Randy Oliver · D1</x:v>
      </x:c>
    </x:row>
    <x:row r="463" ht="86" customHeight="1">
      <x:c r="A463" s="498"/>
      <x:c r="B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C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D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E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F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G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H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I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J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K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L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c r="M463" s="508" t="str">
        <x:v>Les abeilles dérivent d’une ruche à l’autre, jusqu’à environ 1,6 km de leur ruche d’origine (1 mile dans l’original), et elles peuvent transporter des varroas. Dans les zones où les colonies affaiblies par le varroa sont pillées en fin d’été, les varroas profitent de l’occasion pour monter sur les pillardes qui retournent à leur ruche. Par conséquent, si d’autres apiculteurs ou des colonies sauvages se trouvent autour de votre rucher, vous devez tenir compte des arrivées de varroas (immigration).</x:v>
      </x:c>
    </x:row>
    <x:row r="464" ht="86" customHeight="1">
      <x:c r="A464" s="498"/>
      <x:c r="B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C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D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E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F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G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H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I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J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K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L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c r="M464" s="508" t="str">
        <x:v>Les arrivées de varroas (immigration) ont lieu principalement à la fin de l’été et en automne, et varient fortement selon l’année et le rucher. D’après mes propres données, elles varient énormément d’une ruche à l’autre dans un même rucher (les comptages de 12 ruches suivies dans mon propre rucher allaient de 50 à 500). Des valeurs d’immigration mesurées dans une ruche ont dépassé 4000 varroas (Imdorf 2003), Greatti (1992) ! Réglez donc votre valeur en conséquence.</x:v>
      </x:c>
    </x:row>
    <x:row r="465" ht="18" customHeight="1">
      <x:c r="A465" s="498"/>
      <x:c r="B465" s="498"/>
      <x:c r="C465" s="498"/>
      <x:c r="D465" s="498"/>
      <x:c r="E465" s="498"/>
      <x:c r="F465" s="498"/>
      <x:c r="G465" s="498"/>
      <x:c r="H465" s="498"/>
      <x:c r="I465" s="498"/>
      <x:c r="J465" s="498"/>
      <x:c r="K465" s="498"/>
      <x:c r="L465" s="498"/>
      <x:c r="M465" s="498"/>
    </x:row>
    <x:row r="466" ht="18" customHeight="1">
      <x:c r="A466" s="498"/>
      <x:c r="B466" s="498"/>
      <x:c r="C466" s="498"/>
      <x:c r="D466" s="498"/>
      <x:c r="E466" s="498"/>
      <x:c r="F466" s="498"/>
      <x:c r="G466" s="498"/>
      <x:c r="H466" s="498"/>
      <x:c r="I466" s="498"/>
      <x:c r="J466" s="498"/>
      <x:c r="K466" s="498"/>
      <x:c r="L466" s="498"/>
      <x:c r="M466" s="498"/>
    </x:row>
    <x:row r="467" ht="18" customHeight="1">
      <x:c r="A467" s="498"/>
      <x:c r="B467" s="525" t="str">
        <x:v>Croissance comparée</x:v>
      </x:c>
      <x:c r="C467" s="525" t="str">
        <x:v>Croissance comparée</x:v>
      </x:c>
      <x:c r="D467" s="525" t="str">
        <x:v>Croissance comparée</x:v>
      </x:c>
      <x:c r="E467" s="525" t="str">
        <x:v>Croissance comparée</x:v>
      </x:c>
      <x:c r="F467" s="525" t="str">
        <x:v>Croissance comparée</x:v>
      </x:c>
      <x:c r="G467" s="525" t="str">
        <x:v>Croissance comparée</x:v>
      </x:c>
      <x:c r="H467" s="525" t="str">
        <x:v>Croissance comparée</x:v>
      </x:c>
      <x:c r="I467" s="525" t="str">
        <x:v>Croissance comparée</x:v>
      </x:c>
      <x:c r="J467" s="525" t="str">
        <x:v>Croissance comparée</x:v>
      </x:c>
      <x:c r="K467" s="525" t="str">
        <x:v>Croissance comparée</x:v>
      </x:c>
      <x:c r="L467" s="525" t="str">
        <x:v>Croissance comparée</x:v>
      </x:c>
      <x:c r="M467" s="525" t="str">
        <x:v>Croissance comparée</x:v>
      </x:c>
    </x:row>
    <x:row r="468" ht="18" customHeight="1">
      <x:c r="A468" s="498"/>
      <x:c r="B468" s="525" t="str">
        <x:v>Croissance comparée</x:v>
      </x:c>
      <x:c r="C468" s="525" t="str">
        <x:v>Croissance comparée</x:v>
      </x:c>
      <x:c r="D468" s="525" t="str">
        <x:v>Croissance comparée</x:v>
      </x:c>
      <x:c r="E468" s="525" t="str">
        <x:v>Croissance comparée</x:v>
      </x:c>
      <x:c r="F468" s="525" t="str">
        <x:v>Croissance comparée</x:v>
      </x:c>
      <x:c r="G468" s="525" t="str">
        <x:v>Croissance comparée</x:v>
      </x:c>
      <x:c r="H468" s="525" t="str">
        <x:v>Croissance comparée</x:v>
      </x:c>
      <x:c r="I468" s="525" t="str">
        <x:v>Croissance comparée</x:v>
      </x:c>
      <x:c r="J468" s="525" t="str">
        <x:v>Croissance comparée</x:v>
      </x:c>
      <x:c r="K468" s="525" t="str">
        <x:v>Croissance comparée</x:v>
      </x:c>
      <x:c r="L468" s="525" t="str">
        <x:v>Croissance comparée</x:v>
      </x:c>
      <x:c r="M468" s="525" t="str">
        <x:v>Croissance comparée</x:v>
      </x:c>
    </x:row>
    <x:row r="469" ht="18" customHeight="1">
      <x:c r="A469" s="498"/>
      <x:c r="B469" s="498"/>
      <x:c r="C469" s="498"/>
      <x:c r="D469" s="498"/>
      <x:c r="E469" s="498"/>
      <x:c r="F469" s="498"/>
      <x:c r="G469" s="498"/>
      <x:c r="H469" s="498"/>
      <x:c r="I469" s="498"/>
      <x:c r="J469" s="498"/>
      <x:c r="K469" s="498"/>
      <x:c r="L469" s="498"/>
      <x:c r="M469" s="498"/>
    </x:row>
    <x:row r="470" ht="18" customHeight="1">
      <x:c r="A470" s="498"/>
      <x:c r="B470" s="529" t="str">
        <x:v>Explication de Randy Oliver · L70</x:v>
      </x:c>
      <x:c r="C470" s="529" t="str">
        <x:v>Explication de Randy Oliver · L70</x:v>
      </x:c>
      <x:c r="D470" s="529" t="str">
        <x:v>Explication de Randy Oliver · L70</x:v>
      </x:c>
      <x:c r="E470" s="529" t="str">
        <x:v>Explication de Randy Oliver · L70</x:v>
      </x:c>
      <x:c r="F470" s="529" t="str">
        <x:v>Explication de Randy Oliver · L70</x:v>
      </x:c>
      <x:c r="G470" s="529" t="str">
        <x:v>Explication de Randy Oliver · L70</x:v>
      </x:c>
      <x:c r="H470" s="529" t="str">
        <x:v>Explication de Randy Oliver · L70</x:v>
      </x:c>
      <x:c r="I470" s="529" t="str">
        <x:v>Explication de Randy Oliver · L70</x:v>
      </x:c>
      <x:c r="J470" s="529" t="str">
        <x:v>Explication de Randy Oliver · L70</x:v>
      </x:c>
      <x:c r="K470" s="529" t="str">
        <x:v>Explication de Randy Oliver · L70</x:v>
      </x:c>
      <x:c r="L470" s="529" t="str">
        <x:v>Explication de Randy Oliver · L70</x:v>
      </x:c>
      <x:c r="M470" s="529" t="str">
        <x:v>Explication de Randy Oliver · L70</x:v>
      </x:c>
    </x:row>
    <x:row r="471" ht="71.19999694824219" customHeight="1">
      <x:c r="A471" s="498"/>
      <x:c r="B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C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D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E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F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G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H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I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J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K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L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c r="M471" s="508" t="str">
        <x:v>Le graphique ci-dessus, qui se passe d’explications, est reproduit avec l’aimable autorisation de son auteur. Il provient de Martin, S. J. (1997), Vie et mort du varroa (Life and death of Varroa), dans Varroa ! Combattre l’acarien (Varroa! Fight the mite), P. Munn et R. Jones (dir.), p. 3–10. International Bee Research Association, Cardiff.</x:v>
      </x:c>
    </x:row>
    <x:row r="472" ht="18" customHeight="1">
      <x:c r="A472" s="498"/>
      <x:c r="B472" s="498"/>
      <x:c r="C472" s="498"/>
      <x:c r="D472" s="498"/>
      <x:c r="E472" s="498"/>
      <x:c r="F472" s="498"/>
      <x:c r="G472" s="498"/>
      <x:c r="H472" s="498"/>
      <x:c r="I472" s="498"/>
      <x:c r="J472" s="498"/>
      <x:c r="K472" s="498"/>
      <x:c r="L472" s="498"/>
      <x:c r="M472" s="498"/>
    </x:row>
    <x:row r="473" ht="18" customHeight="1">
      <x:c r="A473" s="498"/>
      <x:c r="B473" s="529" t="str">
        <x:v>Texte de la feuille · Q23</x:v>
      </x:c>
      <x:c r="C473" s="529" t="str">
        <x:v>Texte de la feuille · Q23</x:v>
      </x:c>
      <x:c r="D473" s="529" t="str">
        <x:v>Texte de la feuille · Q23</x:v>
      </x:c>
      <x:c r="E473" s="529" t="str">
        <x:v>Texte de la feuille · Q23</x:v>
      </x:c>
      <x:c r="F473" s="529" t="str">
        <x:v>Texte de la feuille · Q23</x:v>
      </x:c>
      <x:c r="G473" s="529" t="str">
        <x:v>Texte de la feuille · Q23</x:v>
      </x:c>
      <x:c r="H473" s="529" t="str">
        <x:v>Texte de la feuille · Q23</x:v>
      </x:c>
      <x:c r="I473" s="529" t="str">
        <x:v>Texte de la feuille · Q23</x:v>
      </x:c>
      <x:c r="J473" s="529" t="str">
        <x:v>Texte de la feuille · Q23</x:v>
      </x:c>
      <x:c r="K473" s="529" t="str">
        <x:v>Texte de la feuille · Q23</x:v>
      </x:c>
      <x:c r="L473" s="529" t="str">
        <x:v>Texte de la feuille · Q23</x:v>
      </x:c>
      <x:c r="M473" s="529" t="str">
        <x:v>Texte de la feuille · Q23</x:v>
      </x:c>
    </x:row>
    <x:row r="474" ht="115.5999984741211" customHeight="1">
      <x:c r="A474" s="498"/>
      <x:c r="B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C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D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E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F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G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H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I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J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K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L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c r="M474" s="508" t="str">
        <x:v>Le graphique de gauche montre comment les varroas dépassent les abeilles en vitesse de reproduction pendant une grande partie de la saison. Il reflète les valeurs de la simulation actuelle (reproduites ci-dessus). Je suggère de commencer par une simulation par défaut (d), 25 varroas (pour éviter l’effondrement de la colonie), un réglage d’immigration de 1 et aucun traitement. Cela vous donnera une idée de ce à quoi la colonie est confrontée (il faudra passer d’un onglet à l’autre pour le voir). Vous pourrez ensuite lancer des simulations personnalisées en saisissant des valeurs de résistance aux varroas, afin de voir comment les abeilles peuvent potentiellement maîtriser le parasite.</x:v>
      </x:c>
    </x:row>
    <x:row r="475" ht="31" customHeight="1">
      <x:c r="A475" s="498"/>
      <x:c r="B475" s="508" t="str">
        <x:v>Par exemple, saisir « custom » (dans les paramètres avancés) et mettre la valeur 0,8 dans la cellule C40.</x:v>
      </x:c>
      <x:c r="C475" s="508" t="str">
        <x:v>Par exemple, saisir « custom » (dans les paramètres avancés) et mettre la valeur 0,8 dans la cellule C40.</x:v>
      </x:c>
      <x:c r="D475" s="508" t="str">
        <x:v>Par exemple, saisir « custom » (dans les paramètres avancés) et mettre la valeur 0,8 dans la cellule C40.</x:v>
      </x:c>
      <x:c r="E475" s="508" t="str">
        <x:v>Par exemple, saisir « custom » (dans les paramètres avancés) et mettre la valeur 0,8 dans la cellule C40.</x:v>
      </x:c>
      <x:c r="F475" s="508" t="str">
        <x:v>Par exemple, saisir « custom » (dans les paramètres avancés) et mettre la valeur 0,8 dans la cellule C40.</x:v>
      </x:c>
      <x:c r="G475" s="508" t="str">
        <x:v>Par exemple, saisir « custom » (dans les paramètres avancés) et mettre la valeur 0,8 dans la cellule C40.</x:v>
      </x:c>
      <x:c r="H475" s="508" t="str">
        <x:v>Par exemple, saisir « custom » (dans les paramètres avancés) et mettre la valeur 0,8 dans la cellule C40.</x:v>
      </x:c>
      <x:c r="I475" s="508" t="str">
        <x:v>Par exemple, saisir « custom » (dans les paramètres avancés) et mettre la valeur 0,8 dans la cellule C40.</x:v>
      </x:c>
      <x:c r="J475" s="508" t="str">
        <x:v>Par exemple, saisir « custom » (dans les paramètres avancés) et mettre la valeur 0,8 dans la cellule C40.</x:v>
      </x:c>
      <x:c r="K475" s="508" t="str">
        <x:v>Par exemple, saisir « custom » (dans les paramètres avancés) et mettre la valeur 0,8 dans la cellule C40.</x:v>
      </x:c>
      <x:c r="L475" s="508" t="str">
        <x:v>Par exemple, saisir « custom » (dans les paramètres avancés) et mettre la valeur 0,8 dans la cellule C40.</x:v>
      </x:c>
      <x:c r="M475" s="508" t="str">
        <x:v>Par exemple, saisir « custom » (dans les paramètres avancés) et mettre la valeur 0,8 dans la cellule C40.</x:v>
      </x:c>
    </x:row>
    <x:row r="476" ht="18" customHeight="1">
      <x:c r="A476" s="498"/>
      <x:c r="B476" s="498"/>
      <x:c r="C476" s="498"/>
      <x:c r="D476" s="498"/>
      <x:c r="E476" s="498"/>
      <x:c r="F476" s="498"/>
      <x:c r="G476" s="498"/>
      <x:c r="H476" s="498"/>
      <x:c r="I476" s="498"/>
      <x:c r="J476" s="498"/>
      <x:c r="K476" s="498"/>
      <x:c r="L476" s="498"/>
      <x:c r="M476" s="498"/>
    </x:row>
    <x:row r="477" ht="18" customHeight="1">
      <x:c r="A477" s="498"/>
      <x:c r="B477" s="498"/>
      <x:c r="C477" s="498"/>
      <x:c r="D477" s="498"/>
      <x:c r="E477" s="498"/>
      <x:c r="F477" s="498"/>
      <x:c r="G477" s="498"/>
      <x:c r="H477" s="498"/>
      <x:c r="I477" s="498"/>
      <x:c r="J477" s="498"/>
      <x:c r="K477" s="498"/>
      <x:c r="L477" s="498"/>
      <x:c r="M477" s="498"/>
    </x:row>
    <x:row r="478" ht="18" customHeight="1">
      <x:c r="A478" s="498"/>
      <x:c r="B478" s="525" t="str">
        <x:v>À propos du modèle</x:v>
      </x:c>
      <x:c r="C478" s="525" t="str">
        <x:v>À propos du modèle</x:v>
      </x:c>
      <x:c r="D478" s="525" t="str">
        <x:v>À propos du modèle</x:v>
      </x:c>
      <x:c r="E478" s="525" t="str">
        <x:v>À propos du modèle</x:v>
      </x:c>
      <x:c r="F478" s="525" t="str">
        <x:v>À propos du modèle</x:v>
      </x:c>
      <x:c r="G478" s="525" t="str">
        <x:v>À propos du modèle</x:v>
      </x:c>
      <x:c r="H478" s="525" t="str">
        <x:v>À propos du modèle</x:v>
      </x:c>
      <x:c r="I478" s="525" t="str">
        <x:v>À propos du modèle</x:v>
      </x:c>
      <x:c r="J478" s="525" t="str">
        <x:v>À propos du modèle</x:v>
      </x:c>
      <x:c r="K478" s="525" t="str">
        <x:v>À propos du modèle</x:v>
      </x:c>
      <x:c r="L478" s="525" t="str">
        <x:v>À propos du modèle</x:v>
      </x:c>
      <x:c r="M478" s="525" t="str">
        <x:v>À propos du modèle</x:v>
      </x:c>
    </x:row>
    <x:row r="479" ht="18" customHeight="1">
      <x:c r="A479" s="498"/>
      <x:c r="B479" s="525" t="str">
        <x:v>À propos du modèle</x:v>
      </x:c>
      <x:c r="C479" s="525" t="str">
        <x:v>À propos du modèle</x:v>
      </x:c>
      <x:c r="D479" s="525" t="str">
        <x:v>À propos du modèle</x:v>
      </x:c>
      <x:c r="E479" s="525" t="str">
        <x:v>À propos du modèle</x:v>
      </x:c>
      <x:c r="F479" s="525" t="str">
        <x:v>À propos du modèle</x:v>
      </x:c>
      <x:c r="G479" s="525" t="str">
        <x:v>À propos du modèle</x:v>
      </x:c>
      <x:c r="H479" s="525" t="str">
        <x:v>À propos du modèle</x:v>
      </x:c>
      <x:c r="I479" s="525" t="str">
        <x:v>À propos du modèle</x:v>
      </x:c>
      <x:c r="J479" s="525" t="str">
        <x:v>À propos du modèle</x:v>
      </x:c>
      <x:c r="K479" s="525" t="str">
        <x:v>À propos du modèle</x:v>
      </x:c>
      <x:c r="L479" s="525" t="str">
        <x:v>À propos du modèle</x:v>
      </x:c>
      <x:c r="M479" s="525" t="str">
        <x:v>À propos du modèle</x:v>
      </x:c>
    </x:row>
    <x:row r="480" ht="18" customHeight="1">
      <x:c r="A480" s="498"/>
      <x:c r="B480" s="498"/>
      <x:c r="C480" s="498"/>
      <x:c r="D480" s="498"/>
      <x:c r="E480" s="498"/>
      <x:c r="F480" s="498"/>
      <x:c r="G480" s="498"/>
      <x:c r="H480" s="498"/>
      <x:c r="I480" s="498"/>
      <x:c r="J480" s="498"/>
      <x:c r="K480" s="498"/>
      <x:c r="L480" s="498"/>
      <x:c r="M480" s="498"/>
    </x:row>
    <x:row r="481" ht="18" customHeight="1">
      <x:c r="A481" s="498"/>
      <x:c r="B481" s="529" t="str">
        <x:v>Explication de Randy Oliver · A3</x:v>
      </x:c>
      <x:c r="C481" s="529" t="str">
        <x:v>Explication de Randy Oliver · A3</x:v>
      </x:c>
      <x:c r="D481" s="529" t="str">
        <x:v>Explication de Randy Oliver · A3</x:v>
      </x:c>
      <x:c r="E481" s="529" t="str">
        <x:v>Explication de Randy Oliver · A3</x:v>
      </x:c>
      <x:c r="F481" s="529" t="str">
        <x:v>Explication de Randy Oliver · A3</x:v>
      </x:c>
      <x:c r="G481" s="529" t="str">
        <x:v>Explication de Randy Oliver · A3</x:v>
      </x:c>
      <x:c r="H481" s="529" t="str">
        <x:v>Explication de Randy Oliver · A3</x:v>
      </x:c>
      <x:c r="I481" s="529" t="str">
        <x:v>Explication de Randy Oliver · A3</x:v>
      </x:c>
      <x:c r="J481" s="529" t="str">
        <x:v>Explication de Randy Oliver · A3</x:v>
      </x:c>
      <x:c r="K481" s="529" t="str">
        <x:v>Explication de Randy Oliver · A3</x:v>
      </x:c>
      <x:c r="L481" s="529" t="str">
        <x:v>Explication de Randy Oliver · A3</x:v>
      </x:c>
      <x:c r="M481" s="529" t="str">
        <x:v>Explication de Randy Oliver · A3</x:v>
      </x:c>
    </x:row>
    <x:row r="482" ht="31" customHeight="1">
      <x:c r="A482" s="498"/>
      <x:c r="B482" s="508" t="str">
        <x:v>À propos du modèle Varroa de Randy</x:v>
      </x:c>
      <x:c r="C482" s="508" t="str">
        <x:v>À propos du modèle Varroa de Randy</x:v>
      </x:c>
      <x:c r="D482" s="508" t="str">
        <x:v>À propos du modèle Varroa de Randy</x:v>
      </x:c>
      <x:c r="E482" s="508" t="str">
        <x:v>À propos du modèle Varroa de Randy</x:v>
      </x:c>
      <x:c r="F482" s="508" t="str">
        <x:v>À propos du modèle Varroa de Randy</x:v>
      </x:c>
      <x:c r="G482" s="508" t="str">
        <x:v>À propos du modèle Varroa de Randy</x:v>
      </x:c>
      <x:c r="H482" s="508" t="str">
        <x:v>À propos du modèle Varroa de Randy</x:v>
      </x:c>
      <x:c r="I482" s="508" t="str">
        <x:v>À propos du modèle Varroa de Randy</x:v>
      </x:c>
      <x:c r="J482" s="508" t="str">
        <x:v>À propos du modèle Varroa de Randy</x:v>
      </x:c>
      <x:c r="K482" s="508" t="str">
        <x:v>À propos du modèle Varroa de Randy</x:v>
      </x:c>
      <x:c r="L482" s="508" t="str">
        <x:v>À propos du modèle Varroa de Randy</x:v>
      </x:c>
      <x:c r="M482" s="508" t="str">
        <x:v>À propos du modèle Varroa de Randy</x:v>
      </x:c>
    </x:row>
    <x:row r="483" ht="56.400001525878906" customHeight="1">
      <x:c r="A483" s="498"/>
      <x:c r="B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C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D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E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F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G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H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I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J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K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L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c r="M483" s="508" t="str">
        <x:v>Les communautés de l’apiculture et de la recherche sur l’abeille ne disposaient pas d’un modèle précis et facile à utiliser pour projeter la croissance de la population de varroas dans une ruche, qui permette une personnalisation et l’application de différents traitements.</x:v>
      </x:c>
    </x:row>
    <x:row r="484" ht="71.19999694824219" customHeight="1">
      <x:c r="A484" s="498"/>
      <x:c r="B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C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D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E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F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G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H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I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J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K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L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c r="M484" s="508" t="str">
        <x:v>Dans ce but, j’ai consacré une année à la création, dans Excel, d’un modèle simple et entièrement personnalisable. Mon objectif principal était de permettre aux apiculteurs de concevoir des plans de gestion des varroas adaptés à leur lieu et à leur mode de conduite. L’utilisateur peut également ajuster chaque aspect du succès reproductif des varroas et des mécanismes de résistance des abeilles à ce parasite.</x:v>
      </x:c>
    </x:row>
    <x:row r="485" ht="115.5999984741211" customHeight="1">
      <x:c r="A485" s="498"/>
      <x:c r="B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C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D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E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F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G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H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I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J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K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L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c r="M485" s="508" t="str">
        <x:v>J’ai simplifié le modèle en ne cherchant pas à prendre en compte les effets des varroas et des virus associés sur la colonie, en dehors de son effondrement éventuel lorsque le taux d’infestation dépasse un niveau déterminé, en supposant que les varroas seraient maîtrisés avant d’atteindre ce niveau. Le modèle prend en compte tous les aspects de la biologie du varroa auxquels j’ai pu penser et ses simulations sont généralement remarquablement précises, d’après leur comparaison avec des données réelles de terrain. Je propose ce modèle à la communauté scientifique comme un prototype « en cours de développement » et je le mets régulièrement à jour.</x:v>
      </x:c>
    </x:row>
    <x:row r="486" ht="41.599998474121094" customHeight="1">
      <x:c r="A486" s="498"/>
      <x:c r="B486" s="508" t="str">
        <x:v>Utilisez toujours la version la plus récente, disponible à l’adresse http://scientificbeekeeping.com/randys-varroa-model/</x:v>
      </x:c>
      <x:c r="C486" s="508" t="str">
        <x:v>Utilisez toujours la version la plus récente, disponible à l’adresse http://scientificbeekeeping.com/randys-varroa-model/</x:v>
      </x:c>
      <x:c r="D486" s="508" t="str">
        <x:v>Utilisez toujours la version la plus récente, disponible à l’adresse http://scientificbeekeeping.com/randys-varroa-model/</x:v>
      </x:c>
      <x:c r="E486" s="508" t="str">
        <x:v>Utilisez toujours la version la plus récente, disponible à l’adresse http://scientificbeekeeping.com/randys-varroa-model/</x:v>
      </x:c>
      <x:c r="F486" s="508" t="str">
        <x:v>Utilisez toujours la version la plus récente, disponible à l’adresse http://scientificbeekeeping.com/randys-varroa-model/</x:v>
      </x:c>
      <x:c r="G486" s="508" t="str">
        <x:v>Utilisez toujours la version la plus récente, disponible à l’adresse http://scientificbeekeeping.com/randys-varroa-model/</x:v>
      </x:c>
      <x:c r="H486" s="508" t="str">
        <x:v>Utilisez toujours la version la plus récente, disponible à l’adresse http://scientificbeekeeping.com/randys-varroa-model/</x:v>
      </x:c>
      <x:c r="I486" s="508" t="str">
        <x:v>Utilisez toujours la version la plus récente, disponible à l’adresse http://scientificbeekeeping.com/randys-varroa-model/</x:v>
      </x:c>
      <x:c r="J486" s="508" t="str">
        <x:v>Utilisez toujours la version la plus récente, disponible à l’adresse http://scientificbeekeeping.com/randys-varroa-model/</x:v>
      </x:c>
      <x:c r="K486" s="508" t="str">
        <x:v>Utilisez toujours la version la plus récente, disponible à l’adresse http://scientificbeekeeping.com/randys-varroa-model/</x:v>
      </x:c>
      <x:c r="L486" s="508" t="str">
        <x:v>Utilisez toujours la version la plus récente, disponible à l’adresse http://scientificbeekeeping.com/randys-varroa-model/</x:v>
      </x:c>
      <x:c r="M486" s="508" t="str">
        <x:v>Utilisez toujours la version la plus récente, disponible à l’adresse http://scientificbeekeeping.com/randys-varroa-model/</x:v>
      </x:c>
    </x:row>
    <x:row r="487" ht="56.400001525878906" customHeight="1">
      <x:c r="A487" s="498"/>
      <x:c r="B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C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D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E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F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G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H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I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J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K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L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c r="M487" s="508" t="str">
        <x:v>Je sollicite vos suggestions d’amélioration et serai heureux de montrer comment utiliser le modèle par visioconférence. J’ai protégé la plupart des cellules pour éviter les modifications accidentelles ; elles peuvent être déverrouillées avec le mot de passe sb.</x:v>
      </x:c>
    </x:row>
    <x:row r="488" ht="41.599998474121094" customHeight="1">
      <x:c r="A488" s="498"/>
      <x:c r="B488" s="508" t="str">
        <x:v>Ce modèle est en cours d’élaboration et j’y apporte régulièrement des améliorations. Voici quelques ajustements qu’il pourrait être nécessaire d’effectuer.</x:v>
      </x:c>
      <x:c r="C488" s="508" t="str">
        <x:v>Ce modèle est en cours d’élaboration et j’y apporte régulièrement des améliorations. Voici quelques ajustements qu’il pourrait être nécessaire d’effectuer.</x:v>
      </x:c>
      <x:c r="D488" s="508" t="str">
        <x:v>Ce modèle est en cours d’élaboration et j’y apporte régulièrement des améliorations. Voici quelques ajustements qu’il pourrait être nécessaire d’effectuer.</x:v>
      </x:c>
      <x:c r="E488" s="508" t="str">
        <x:v>Ce modèle est en cours d’élaboration et j’y apporte régulièrement des améliorations. Voici quelques ajustements qu’il pourrait être nécessaire d’effectuer.</x:v>
      </x:c>
      <x:c r="F488" s="508" t="str">
        <x:v>Ce modèle est en cours d’élaboration et j’y apporte régulièrement des améliorations. Voici quelques ajustements qu’il pourrait être nécessaire d’effectuer.</x:v>
      </x:c>
      <x:c r="G488" s="508" t="str">
        <x:v>Ce modèle est en cours d’élaboration et j’y apporte régulièrement des améliorations. Voici quelques ajustements qu’il pourrait être nécessaire d’effectuer.</x:v>
      </x:c>
      <x:c r="H488" s="508" t="str">
        <x:v>Ce modèle est en cours d’élaboration et j’y apporte régulièrement des améliorations. Voici quelques ajustements qu’il pourrait être nécessaire d’effectuer.</x:v>
      </x:c>
      <x:c r="I488" s="508" t="str">
        <x:v>Ce modèle est en cours d’élaboration et j’y apporte régulièrement des améliorations. Voici quelques ajustements qu’il pourrait être nécessaire d’effectuer.</x:v>
      </x:c>
      <x:c r="J488" s="508" t="str">
        <x:v>Ce modèle est en cours d’élaboration et j’y apporte régulièrement des améliorations. Voici quelques ajustements qu’il pourrait être nécessaire d’effectuer.</x:v>
      </x:c>
      <x:c r="K488" s="508" t="str">
        <x:v>Ce modèle est en cours d’élaboration et j’y apporte régulièrement des améliorations. Voici quelques ajustements qu’il pourrait être nécessaire d’effectuer.</x:v>
      </x:c>
      <x:c r="L488" s="508" t="str">
        <x:v>Ce modèle est en cours d’élaboration et j’y apporte régulièrement des améliorations. Voici quelques ajustements qu’il pourrait être nécessaire d’effectuer.</x:v>
      </x:c>
      <x:c r="M488" s="508" t="str">
        <x:v>Ce modèle est en cours d’élaboration et j’y apporte régulièrement des améliorations. Voici quelques ajustements qu’il pourrait être nécessaire d’effectuer.</x:v>
      </x:c>
    </x:row>
    <x:row r="489" ht="100.80000305175781" customHeight="1">
      <x:c r="A489" s="498"/>
      <x:c r="B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C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D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E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F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G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H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I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J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K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L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c r="M489" s="508" t="str">
        <x:v>Après avoir effectué des milliers de comptages par lavage à l’alcool dans les colonies de mon programme de sélection pour la résistance aux varroas, j’observe que le taux d’infestation semble augmenter plus lentement dans les petites colonies que dans les grandes. Les données de Seeley sur les petites colonies corroborent cette observation. Le modèle ne la représente actuellement pas de façon satisfaisante. Je devrai peut-être introduire un ajustement selon la taille de la colonie, bien que je ne sois pas certain du mécanisme en cause.</x:v>
      </x:c>
    </x:row>
    <x:row r="490" ht="71.19999694824219" customHeight="1">
      <x:c r="A490" s="498"/>
      <x:c r="B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C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D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E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F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G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H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I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J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K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L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c r="M490" s="508" t="str">
        <x:v>Reyes-Qiuntana 2019 — Effets de Varroa destructor et du virus des ailes déformées sur l’émergence, l’immunité cellulaire, l’intégrité des ailes et la survie des abeilles africanisées au Mexique. https://doi.org/10.1016/j.jip.2019.04.009 L’infestation d’une nymphe par Varroa et le virus des ailes déformées (DWV) réduit son taux d’émergence ; faudrait-il en tenir compte dans le modèle ?</x:v>
      </x:c>
    </x:row>
    <x:row r="491" ht="41.599998474121094" customHeight="1">
      <x:c r="A491" s="498"/>
      <x:c r="B491" s="508" t="str">
        <x:v>BartJan Fernhout, d’Arista Bee Research, souligne qu’il faudra peut-être ajuster l’effet du VSH dans le modèle pour tenir compte du taux de mortalité accru des fondatrices après leur perturbation lors du VSH.</x:v>
      </x:c>
      <x:c r="C491" s="508" t="str">
        <x:v>BartJan Fernhout, d’Arista Bee Research, souligne qu’il faudra peut-être ajuster l’effet du VSH dans le modèle pour tenir compte du taux de mortalité accru des fondatrices après leur perturbation lors du VSH.</x:v>
      </x:c>
      <x:c r="D491" s="508" t="str">
        <x:v>BartJan Fernhout, d’Arista Bee Research, souligne qu’il faudra peut-être ajuster l’effet du VSH dans le modèle pour tenir compte du taux de mortalité accru des fondatrices après leur perturbation lors du VSH.</x:v>
      </x:c>
      <x:c r="E491" s="508" t="str">
        <x:v>BartJan Fernhout, d’Arista Bee Research, souligne qu’il faudra peut-être ajuster l’effet du VSH dans le modèle pour tenir compte du taux de mortalité accru des fondatrices après leur perturbation lors du VSH.</x:v>
      </x:c>
      <x:c r="F491" s="508" t="str">
        <x:v>BartJan Fernhout, d’Arista Bee Research, souligne qu’il faudra peut-être ajuster l’effet du VSH dans le modèle pour tenir compte du taux de mortalité accru des fondatrices après leur perturbation lors du VSH.</x:v>
      </x:c>
      <x:c r="G491" s="508" t="str">
        <x:v>BartJan Fernhout, d’Arista Bee Research, souligne qu’il faudra peut-être ajuster l’effet du VSH dans le modèle pour tenir compte du taux de mortalité accru des fondatrices après leur perturbation lors du VSH.</x:v>
      </x:c>
      <x:c r="H491" s="508" t="str">
        <x:v>BartJan Fernhout, d’Arista Bee Research, souligne qu’il faudra peut-être ajuster l’effet du VSH dans le modèle pour tenir compte du taux de mortalité accru des fondatrices après leur perturbation lors du VSH.</x:v>
      </x:c>
      <x:c r="I491" s="508" t="str">
        <x:v>BartJan Fernhout, d’Arista Bee Research, souligne qu’il faudra peut-être ajuster l’effet du VSH dans le modèle pour tenir compte du taux de mortalité accru des fondatrices après leur perturbation lors du VSH.</x:v>
      </x:c>
      <x:c r="J491" s="508" t="str">
        <x:v>BartJan Fernhout, d’Arista Bee Research, souligne qu’il faudra peut-être ajuster l’effet du VSH dans le modèle pour tenir compte du taux de mortalité accru des fondatrices après leur perturbation lors du VSH.</x:v>
      </x:c>
      <x:c r="K491" s="508" t="str">
        <x:v>BartJan Fernhout, d’Arista Bee Research, souligne qu’il faudra peut-être ajuster l’effet du VSH dans le modèle pour tenir compte du taux de mortalité accru des fondatrices après leur perturbation lors du VSH.</x:v>
      </x:c>
      <x:c r="L491" s="508" t="str">
        <x:v>BartJan Fernhout, d’Arista Bee Research, souligne qu’il faudra peut-être ajuster l’effet du VSH dans le modèle pour tenir compte du taux de mortalité accru des fondatrices après leur perturbation lors du VSH.</x:v>
      </x:c>
      <x:c r="M491" s="508" t="str">
        <x:v>BartJan Fernhout, d’Arista Bee Research, souligne qu’il faudra peut-être ajuster l’effet du VSH dans le modèle pour tenir compte du taux de mortalité accru des fondatrices après leur perturbation lors du VSH.</x:v>
      </x:c>
    </x:row>
    <x:row r="492" ht="18" customHeight="1">
      <x:c r="A492" s="498"/>
      <x:c r="B492" s="498"/>
      <x:c r="C492" s="498"/>
      <x:c r="D492" s="498"/>
      <x:c r="E492" s="498"/>
      <x:c r="F492" s="498"/>
      <x:c r="G492" s="498"/>
      <x:c r="H492" s="498"/>
      <x:c r="I492" s="498"/>
      <x:c r="J492" s="498"/>
      <x:c r="K492" s="498"/>
      <x:c r="L492" s="498"/>
      <x:c r="M492" s="498"/>
    </x:row>
    <x:row r="493" ht="18" customHeight="1">
      <x:c r="A493" s="498"/>
      <x:c r="B493" s="498"/>
      <x:c r="C493" s="498"/>
      <x:c r="D493" s="498"/>
      <x:c r="E493" s="498"/>
      <x:c r="F493" s="498"/>
      <x:c r="G493" s="498"/>
      <x:c r="H493" s="498"/>
      <x:c r="I493" s="498"/>
      <x:c r="J493" s="498"/>
      <x:c r="K493" s="498"/>
      <x:c r="L493" s="498"/>
      <x:c r="M493" s="498"/>
    </x:row>
    <x:row r="494" ht="18" customHeight="1">
      <x:c r="A494" s="498"/>
      <x:c r="B494" s="525" t="str">
        <x:v>Notes de version</x:v>
      </x:c>
      <x:c r="C494" s="525" t="str">
        <x:v>Notes de version</x:v>
      </x:c>
      <x:c r="D494" s="525" t="str">
        <x:v>Notes de version</x:v>
      </x:c>
      <x:c r="E494" s="525" t="str">
        <x:v>Notes de version</x:v>
      </x:c>
      <x:c r="F494" s="525" t="str">
        <x:v>Notes de version</x:v>
      </x:c>
      <x:c r="G494" s="525" t="str">
        <x:v>Notes de version</x:v>
      </x:c>
      <x:c r="H494" s="525" t="str">
        <x:v>Notes de version</x:v>
      </x:c>
      <x:c r="I494" s="525" t="str">
        <x:v>Notes de version</x:v>
      </x:c>
      <x:c r="J494" s="525" t="str">
        <x:v>Notes de version</x:v>
      </x:c>
      <x:c r="K494" s="525" t="str">
        <x:v>Notes de version</x:v>
      </x:c>
      <x:c r="L494" s="525" t="str">
        <x:v>Notes de version</x:v>
      </x:c>
      <x:c r="M494" s="525" t="str">
        <x:v>Notes de version</x:v>
      </x:c>
    </x:row>
    <x:row r="495" ht="18" customHeight="1">
      <x:c r="A495" s="498"/>
      <x:c r="B495" s="525" t="str">
        <x:v>Notes de version</x:v>
      </x:c>
      <x:c r="C495" s="525" t="str">
        <x:v>Notes de version</x:v>
      </x:c>
      <x:c r="D495" s="525" t="str">
        <x:v>Notes de version</x:v>
      </x:c>
      <x:c r="E495" s="525" t="str">
        <x:v>Notes de version</x:v>
      </x:c>
      <x:c r="F495" s="525" t="str">
        <x:v>Notes de version</x:v>
      </x:c>
      <x:c r="G495" s="525" t="str">
        <x:v>Notes de version</x:v>
      </x:c>
      <x:c r="H495" s="525" t="str">
        <x:v>Notes de version</x:v>
      </x:c>
      <x:c r="I495" s="525" t="str">
        <x:v>Notes de version</x:v>
      </x:c>
      <x:c r="J495" s="525" t="str">
        <x:v>Notes de version</x:v>
      </x:c>
      <x:c r="K495" s="525" t="str">
        <x:v>Notes de version</x:v>
      </x:c>
      <x:c r="L495" s="525" t="str">
        <x:v>Notes de version</x:v>
      </x:c>
      <x:c r="M495" s="525" t="str">
        <x:v>Notes de version</x:v>
      </x:c>
    </x:row>
    <x:row r="496" ht="18" customHeight="1">
      <x:c r="A496" s="498"/>
      <x:c r="B496" s="498"/>
      <x:c r="C496" s="498"/>
      <x:c r="D496" s="498"/>
      <x:c r="E496" s="498"/>
      <x:c r="F496" s="498"/>
      <x:c r="G496" s="498"/>
      <x:c r="H496" s="498"/>
      <x:c r="I496" s="498"/>
      <x:c r="J496" s="498"/>
      <x:c r="K496" s="498"/>
      <x:c r="L496" s="498"/>
      <x:c r="M496" s="498"/>
    </x:row>
    <x:row r="497" ht="18" customHeight="1">
      <x:c r="A497" s="498"/>
      <x:c r="B497" s="529" t="str">
        <x:v>Explication de Randy Oliver · B1</x:v>
      </x:c>
      <x:c r="C497" s="529" t="str">
        <x:v>Explication de Randy Oliver · B1</x:v>
      </x:c>
      <x:c r="D497" s="529" t="str">
        <x:v>Explication de Randy Oliver · B1</x:v>
      </x:c>
      <x:c r="E497" s="529" t="str">
        <x:v>Explication de Randy Oliver · B1</x:v>
      </x:c>
      <x:c r="F497" s="529" t="str">
        <x:v>Explication de Randy Oliver · B1</x:v>
      </x:c>
      <x:c r="G497" s="529" t="str">
        <x:v>Explication de Randy Oliver · B1</x:v>
      </x:c>
      <x:c r="H497" s="529" t="str">
        <x:v>Explication de Randy Oliver · B1</x:v>
      </x:c>
      <x:c r="I497" s="529" t="str">
        <x:v>Explication de Randy Oliver · B1</x:v>
      </x:c>
      <x:c r="J497" s="529" t="str">
        <x:v>Explication de Randy Oliver · B1</x:v>
      </x:c>
      <x:c r="K497" s="529" t="str">
        <x:v>Explication de Randy Oliver · B1</x:v>
      </x:c>
      <x:c r="L497" s="529" t="str">
        <x:v>Explication de Randy Oliver · B1</x:v>
      </x:c>
      <x:c r="M497" s="529" t="str">
        <x:v>Explication de Randy Oliver · B1</x:v>
      </x:c>
    </x:row>
    <x:row r="498" ht="41.599998474121094" customHeight="1">
      <x:c r="A498" s="498"/>
      <x:c r="B498" s="508" t="str">
        <x:v>V18 : j’ai corrigé quelques fautes de frappe apparues lorsque j’ai modifié l’affichage du graphique. J’ai également refait mes calculs de réduction des varroas due à l’essaimage ou à une rupture de couvain.</x:v>
      </x:c>
      <x:c r="C498" s="508" t="str">
        <x:v>V18 : j’ai corrigé quelques fautes de frappe apparues lorsque j’ai modifié l’affichage du graphique. J’ai également refait mes calculs de réduction des varroas due à l’essaimage ou à une rupture de couvain.</x:v>
      </x:c>
      <x:c r="D498" s="508" t="str">
        <x:v>V18 : j’ai corrigé quelques fautes de frappe apparues lorsque j’ai modifié l’affichage du graphique. J’ai également refait mes calculs de réduction des varroas due à l’essaimage ou à une rupture de couvain.</x:v>
      </x:c>
      <x:c r="E498" s="508" t="str">
        <x:v>V18 : j’ai corrigé quelques fautes de frappe apparues lorsque j’ai modifié l’affichage du graphique. J’ai également refait mes calculs de réduction des varroas due à l’essaimage ou à une rupture de couvain.</x:v>
      </x:c>
      <x:c r="F498" s="508" t="str">
        <x:v>V18 : j’ai corrigé quelques fautes de frappe apparues lorsque j’ai modifié l’affichage du graphique. J’ai également refait mes calculs de réduction des varroas due à l’essaimage ou à une rupture de couvain.</x:v>
      </x:c>
      <x:c r="G498" s="508" t="str">
        <x:v>V18 : j’ai corrigé quelques fautes de frappe apparues lorsque j’ai modifié l’affichage du graphique. J’ai également refait mes calculs de réduction des varroas due à l’essaimage ou à une rupture de couvain.</x:v>
      </x:c>
      <x:c r="H498" s="508" t="str">
        <x:v>V18 : j’ai corrigé quelques fautes de frappe apparues lorsque j’ai modifié l’affichage du graphique. J’ai également refait mes calculs de réduction des varroas due à l’essaimage ou à une rupture de couvain.</x:v>
      </x:c>
      <x:c r="I498" s="508" t="str">
        <x:v>V18 : j’ai corrigé quelques fautes de frappe apparues lorsque j’ai modifié l’affichage du graphique. J’ai également refait mes calculs de réduction des varroas due à l’essaimage ou à une rupture de couvain.</x:v>
      </x:c>
      <x:c r="J498" s="508" t="str">
        <x:v>V18 : j’ai corrigé quelques fautes de frappe apparues lorsque j’ai modifié l’affichage du graphique. J’ai également refait mes calculs de réduction des varroas due à l’essaimage ou à une rupture de couvain.</x:v>
      </x:c>
      <x:c r="K498" s="508" t="str">
        <x:v>V18 : j’ai corrigé quelques fautes de frappe apparues lorsque j’ai modifié l’affichage du graphique. J’ai également refait mes calculs de réduction des varroas due à l’essaimage ou à une rupture de couvain.</x:v>
      </x:c>
      <x:c r="L498" s="508" t="str">
        <x:v>V18 : j’ai corrigé quelques fautes de frappe apparues lorsque j’ai modifié l’affichage du graphique. J’ai également refait mes calculs de réduction des varroas due à l’essaimage ou à une rupture de couvain.</x:v>
      </x:c>
      <x:c r="M498" s="508" t="str">
        <x:v>V18 : j’ai corrigé quelques fautes de frappe apparues lorsque j’ai modifié l’affichage du graphique. J’ai également refait mes calculs de réduction des varroas due à l’essaimage ou à une rupture de couvain.</x:v>
      </x:c>
    </x:row>
    <x:row r="499" ht="56.400001525878906" customHeight="1">
      <x:c r="A499" s="498"/>
      <x:c r="B499" s="508" t="str">
        <x:v>Versions de novembre 2020 : déplacement des arrivées de varroas dans un onglet distinct, correction de diverses erreurs mineures. Passage à une numérotation des versions en chiffres. Cette version a été nommée v15.</x:v>
      </x:c>
      <x:c r="C499" s="508" t="str">
        <x:v>Versions de novembre 2020 : déplacement des arrivées de varroas dans un onglet distinct, correction de diverses erreurs mineures. Passage à une numérotation des versions en chiffres. Cette version a été nommée v15.</x:v>
      </x:c>
      <x:c r="D499" s="508" t="str">
        <x:v>Versions de novembre 2020 : déplacement des arrivées de varroas dans un onglet distinct, correction de diverses erreurs mineures. Passage à une numérotation des versions en chiffres. Cette version a été nommée v15.</x:v>
      </x:c>
      <x:c r="E499" s="508" t="str">
        <x:v>Versions de novembre 2020 : déplacement des arrivées de varroas dans un onglet distinct, correction de diverses erreurs mineures. Passage à une numérotation des versions en chiffres. Cette version a été nommée v15.</x:v>
      </x:c>
      <x:c r="F499" s="508" t="str">
        <x:v>Versions de novembre 2020 : déplacement des arrivées de varroas dans un onglet distinct, correction de diverses erreurs mineures. Passage à une numérotation des versions en chiffres. Cette version a été nommée v15.</x:v>
      </x:c>
      <x:c r="G499" s="508" t="str">
        <x:v>Versions de novembre 2020 : déplacement des arrivées de varroas dans un onglet distinct, correction de diverses erreurs mineures. Passage à une numérotation des versions en chiffres. Cette version a été nommée v15.</x:v>
      </x:c>
      <x:c r="H499" s="508" t="str">
        <x:v>Versions de novembre 2020 : déplacement des arrivées de varroas dans un onglet distinct, correction de diverses erreurs mineures. Passage à une numérotation des versions en chiffres. Cette version a été nommée v15.</x:v>
      </x:c>
      <x:c r="I499" s="508" t="str">
        <x:v>Versions de novembre 2020 : déplacement des arrivées de varroas dans un onglet distinct, correction de diverses erreurs mineures. Passage à une numérotation des versions en chiffres. Cette version a été nommée v15.</x:v>
      </x:c>
      <x:c r="J499" s="508" t="str">
        <x:v>Versions de novembre 2020 : déplacement des arrivées de varroas dans un onglet distinct, correction de diverses erreurs mineures. Passage à une numérotation des versions en chiffres. Cette version a été nommée v15.</x:v>
      </x:c>
      <x:c r="K499" s="508" t="str">
        <x:v>Versions de novembre 2020 : déplacement des arrivées de varroas dans un onglet distinct, correction de diverses erreurs mineures. Passage à une numérotation des versions en chiffres. Cette version a été nommée v15.</x:v>
      </x:c>
      <x:c r="L499" s="508" t="str">
        <x:v>Versions de novembre 2020 : déplacement des arrivées de varroas dans un onglet distinct, correction de diverses erreurs mineures. Passage à une numérotation des versions en chiffres. Cette version a été nommée v15.</x:v>
      </x:c>
      <x:c r="M499" s="508" t="str">
        <x:v>Versions de novembre 2020 : déplacement des arrivées de varroas dans un onglet distinct, correction de diverses erreurs mineures. Passage à une numérotation des versions en chiffres. Cette version a été nommée v15.</x:v>
      </x:c>
    </x:row>
    <x:row r="500" ht="41.599998474121094" customHeight="1">
      <x:c r="A500" s="498"/>
      <x:c r="B500" s="508" t="str">
        <x:v>Version du 26 septembre 2020 : correction d’une erreur concernant la valeur de x dans l’immigration de varroas.</x:v>
      </x:c>
      <x:c r="C500" s="508" t="str">
        <x:v>Version du 26 septembre 2020 : correction d’une erreur concernant la valeur de x dans l’immigration de varroas.</x:v>
      </x:c>
      <x:c r="D500" s="508" t="str">
        <x:v>Version du 26 septembre 2020 : correction d’une erreur concernant la valeur de x dans l’immigration de varroas.</x:v>
      </x:c>
      <x:c r="E500" s="508" t="str">
        <x:v>Version du 26 septembre 2020 : correction d’une erreur concernant la valeur de x dans l’immigration de varroas.</x:v>
      </x:c>
      <x:c r="F500" s="508" t="str">
        <x:v>Version du 26 septembre 2020 : correction d’une erreur concernant la valeur de x dans l’immigration de varroas.</x:v>
      </x:c>
      <x:c r="G500" s="508" t="str">
        <x:v>Version du 26 septembre 2020 : correction d’une erreur concernant la valeur de x dans l’immigration de varroas.</x:v>
      </x:c>
      <x:c r="H500" s="508" t="str">
        <x:v>Version du 26 septembre 2020 : correction d’une erreur concernant la valeur de x dans l’immigration de varroas.</x:v>
      </x:c>
      <x:c r="I500" s="508" t="str">
        <x:v>Version du 26 septembre 2020 : correction d’une erreur concernant la valeur de x dans l’immigration de varroas.</x:v>
      </x:c>
      <x:c r="J500" s="508" t="str">
        <x:v>Version du 26 septembre 2020 : correction d’une erreur concernant la valeur de x dans l’immigration de varroas.</x:v>
      </x:c>
      <x:c r="K500" s="508" t="str">
        <x:v>Version du 26 septembre 2020 : correction d’une erreur concernant la valeur de x dans l’immigration de varroas.</x:v>
      </x:c>
      <x:c r="L500" s="508" t="str">
        <x:v>Version du 26 septembre 2020 : correction d’une erreur concernant la valeur de x dans l’immigration de varroas.</x:v>
      </x:c>
      <x:c r="M500" s="508" t="str">
        <x:v>Version du 26 septembre 2020 : correction d’une erreur concernant la valeur de x dans l’immigration de varroas.</x:v>
      </x:c>
    </x:row>
    <x:row r="501" ht="31" customHeight="1">
      <x:c r="A501" s="498"/>
      <x:c r="B501" s="508" t="str">
        <x:v>Version du 6 juin 2020 : refonte majeure de l’affichage pour le rendre plus facile à utiliser.</x:v>
      </x:c>
      <x:c r="C501" s="508" t="str">
        <x:v>Version du 6 juin 2020 : refonte majeure de l’affichage pour le rendre plus facile à utiliser.</x:v>
      </x:c>
      <x:c r="D501" s="508" t="str">
        <x:v>Version du 6 juin 2020 : refonte majeure de l’affichage pour le rendre plus facile à utiliser.</x:v>
      </x:c>
      <x:c r="E501" s="508" t="str">
        <x:v>Version du 6 juin 2020 : refonte majeure de l’affichage pour le rendre plus facile à utiliser.</x:v>
      </x:c>
      <x:c r="F501" s="508" t="str">
        <x:v>Version du 6 juin 2020 : refonte majeure de l’affichage pour le rendre plus facile à utiliser.</x:v>
      </x:c>
      <x:c r="G501" s="508" t="str">
        <x:v>Version du 6 juin 2020 : refonte majeure de l’affichage pour le rendre plus facile à utiliser.</x:v>
      </x:c>
      <x:c r="H501" s="508" t="str">
        <x:v>Version du 6 juin 2020 : refonte majeure de l’affichage pour le rendre plus facile à utiliser.</x:v>
      </x:c>
      <x:c r="I501" s="508" t="str">
        <x:v>Version du 6 juin 2020 : refonte majeure de l’affichage pour le rendre plus facile à utiliser.</x:v>
      </x:c>
      <x:c r="J501" s="508" t="str">
        <x:v>Version du 6 juin 2020 : refonte majeure de l’affichage pour le rendre plus facile à utiliser.</x:v>
      </x:c>
      <x:c r="K501" s="508" t="str">
        <x:v>Version du 6 juin 2020 : refonte majeure de l’affichage pour le rendre plus facile à utiliser.</x:v>
      </x:c>
      <x:c r="L501" s="508" t="str">
        <x:v>Version du 6 juin 2020 : refonte majeure de l’affichage pour le rendre plus facile à utiliser.</x:v>
      </x:c>
      <x:c r="M501" s="508" t="str">
        <x:v>Version du 6 juin 2020 : refonte majeure de l’affichage pour le rendre plus facile à utiliser.</x:v>
      </x:c>
    </x:row>
    <x:row r="502" ht="41.599998474121094" customHeight="1">
      <x:c r="A502" s="498"/>
      <x:c r="B502" s="508" t="str">
        <x:v>2018–2020 : révisions mineures lors des mises à jour, notamment l’ajout d’un ajustement pour la réduction de la reproduction des varroas due à différents mécanismes de résistance.</x:v>
      </x:c>
      <x:c r="C502" s="508" t="str">
        <x:v>2018–2020 : révisions mineures lors des mises à jour, notamment l’ajout d’un ajustement pour la réduction de la reproduction des varroas due à différents mécanismes de résistance.</x:v>
      </x:c>
      <x:c r="D502" s="508" t="str">
        <x:v>2018–2020 : révisions mineures lors des mises à jour, notamment l’ajout d’un ajustement pour la réduction de la reproduction des varroas due à différents mécanismes de résistance.</x:v>
      </x:c>
      <x:c r="E502" s="508" t="str">
        <x:v>2018–2020 : révisions mineures lors des mises à jour, notamment l’ajout d’un ajustement pour la réduction de la reproduction des varroas due à différents mécanismes de résistance.</x:v>
      </x:c>
      <x:c r="F502" s="508" t="str">
        <x:v>2018–2020 : révisions mineures lors des mises à jour, notamment l’ajout d’un ajustement pour la réduction de la reproduction des varroas due à différents mécanismes de résistance.</x:v>
      </x:c>
      <x:c r="G502" s="508" t="str">
        <x:v>2018–2020 : révisions mineures lors des mises à jour, notamment l’ajout d’un ajustement pour la réduction de la reproduction des varroas due à différents mécanismes de résistance.</x:v>
      </x:c>
      <x:c r="H502" s="508" t="str">
        <x:v>2018–2020 : révisions mineures lors des mises à jour, notamment l’ajout d’un ajustement pour la réduction de la reproduction des varroas due à différents mécanismes de résistance.</x:v>
      </x:c>
      <x:c r="I502" s="508" t="str">
        <x:v>2018–2020 : révisions mineures lors des mises à jour, notamment l’ajout d’un ajustement pour la réduction de la reproduction des varroas due à différents mécanismes de résistance.</x:v>
      </x:c>
      <x:c r="J502" s="508" t="str">
        <x:v>2018–2020 : révisions mineures lors des mises à jour, notamment l’ajout d’un ajustement pour la réduction de la reproduction des varroas due à différents mécanismes de résistance.</x:v>
      </x:c>
      <x:c r="K502" s="508" t="str">
        <x:v>2018–2020 : révisions mineures lors des mises à jour, notamment l’ajout d’un ajustement pour la réduction de la reproduction des varroas due à différents mécanismes de résistance.</x:v>
      </x:c>
      <x:c r="L502" s="508" t="str">
        <x:v>2018–2020 : révisions mineures lors des mises à jour, notamment l’ajout d’un ajustement pour la réduction de la reproduction des varroas due à différents mécanismes de résistance.</x:v>
      </x:c>
      <x:c r="M502" s="508" t="str">
        <x:v>2018–2020 : révisions mineures lors des mises à jour, notamment l’ajout d’un ajustement pour la réduction de la reproduction des varroas due à différents mécanismes de résistance.</x:v>
      </x:c>
    </x:row>
    <x:row r="503" ht="41.599998474121094" customHeight="1">
      <x:c r="A503" s="498"/>
      <x:c r="B503" s="508" t="str">
        <x:v>Version du 18 novembre 2018 : après avoir mesuré les arrivées réelles de varroas par dérive dans mon propre rucher, j’ai ajusté les niveaux d’immigration.</x:v>
      </x:c>
      <x:c r="C503" s="508" t="str">
        <x:v>Version du 18 novembre 2018 : après avoir mesuré les arrivées réelles de varroas par dérive dans mon propre rucher, j’ai ajusté les niveaux d’immigration.</x:v>
      </x:c>
      <x:c r="D503" s="508" t="str">
        <x:v>Version du 18 novembre 2018 : après avoir mesuré les arrivées réelles de varroas par dérive dans mon propre rucher, j’ai ajusté les niveaux d’immigration.</x:v>
      </x:c>
      <x:c r="E503" s="508" t="str">
        <x:v>Version du 18 novembre 2018 : après avoir mesuré les arrivées réelles de varroas par dérive dans mon propre rucher, j’ai ajusté les niveaux d’immigration.</x:v>
      </x:c>
      <x:c r="F503" s="508" t="str">
        <x:v>Version du 18 novembre 2018 : après avoir mesuré les arrivées réelles de varroas par dérive dans mon propre rucher, j’ai ajusté les niveaux d’immigration.</x:v>
      </x:c>
      <x:c r="G503" s="508" t="str">
        <x:v>Version du 18 novembre 2018 : après avoir mesuré les arrivées réelles de varroas par dérive dans mon propre rucher, j’ai ajusté les niveaux d’immigration.</x:v>
      </x:c>
      <x:c r="H503" s="508" t="str">
        <x:v>Version du 18 novembre 2018 : après avoir mesuré les arrivées réelles de varroas par dérive dans mon propre rucher, j’ai ajusté les niveaux d’immigration.</x:v>
      </x:c>
      <x:c r="I503" s="508" t="str">
        <x:v>Version du 18 novembre 2018 : après avoir mesuré les arrivées réelles de varroas par dérive dans mon propre rucher, j’ai ajusté les niveaux d’immigration.</x:v>
      </x:c>
      <x:c r="J503" s="508" t="str">
        <x:v>Version du 18 novembre 2018 : après avoir mesuré les arrivées réelles de varroas par dérive dans mon propre rucher, j’ai ajusté les niveaux d’immigration.</x:v>
      </x:c>
      <x:c r="K503" s="508" t="str">
        <x:v>Version du 18 novembre 2018 : après avoir mesuré les arrivées réelles de varroas par dérive dans mon propre rucher, j’ai ajusté les niveaux d’immigration.</x:v>
      </x:c>
      <x:c r="L503" s="508" t="str">
        <x:v>Version du 18 novembre 2018 : après avoir mesuré les arrivées réelles de varroas par dérive dans mon propre rucher, j’ai ajusté les niveaux d’immigration.</x:v>
      </x:c>
      <x:c r="M503" s="508" t="str">
        <x:v>Version du 18 novembre 2018 : après avoir mesuré les arrivées réelles de varroas par dérive dans mon propre rucher, j’ai ajusté les niveaux d’immigration.</x:v>
      </x:c>
    </x:row>
    <x:row r="504" ht="31" customHeight="1">
      <x:c r="A504" s="498"/>
      <x:c r="B504" s="508" t="str">
        <x:v>Version du 25 août 2018 : j’ai ajouté un profil de colonie pour la Californie du Sud.</x:v>
      </x:c>
      <x:c r="C504" s="508" t="str">
        <x:v>Version du 25 août 2018 : j’ai ajouté un profil de colonie pour la Californie du Sud.</x:v>
      </x:c>
      <x:c r="D504" s="508" t="str">
        <x:v>Version du 25 août 2018 : j’ai ajouté un profil de colonie pour la Californie du Sud.</x:v>
      </x:c>
      <x:c r="E504" s="508" t="str">
        <x:v>Version du 25 août 2018 : j’ai ajouté un profil de colonie pour la Californie du Sud.</x:v>
      </x:c>
      <x:c r="F504" s="508" t="str">
        <x:v>Version du 25 août 2018 : j’ai ajouté un profil de colonie pour la Californie du Sud.</x:v>
      </x:c>
      <x:c r="G504" s="508" t="str">
        <x:v>Version du 25 août 2018 : j’ai ajouté un profil de colonie pour la Californie du Sud.</x:v>
      </x:c>
      <x:c r="H504" s="508" t="str">
        <x:v>Version du 25 août 2018 : j’ai ajouté un profil de colonie pour la Californie du Sud.</x:v>
      </x:c>
      <x:c r="I504" s="508" t="str">
        <x:v>Version du 25 août 2018 : j’ai ajouté un profil de colonie pour la Californie du Sud.</x:v>
      </x:c>
      <x:c r="J504" s="508" t="str">
        <x:v>Version du 25 août 2018 : j’ai ajouté un profil de colonie pour la Californie du Sud.</x:v>
      </x:c>
      <x:c r="K504" s="508" t="str">
        <x:v>Version du 25 août 2018 : j’ai ajouté un profil de colonie pour la Californie du Sud.</x:v>
      </x:c>
      <x:c r="L504" s="508" t="str">
        <x:v>Version du 25 août 2018 : j’ai ajouté un profil de colonie pour la Californie du Sud.</x:v>
      </x:c>
      <x:c r="M504" s="508" t="str">
        <x:v>Version du 25 août 2018 : j’ai ajouté un profil de colonie pour la Californie du Sud.</x:v>
      </x:c>
    </x:row>
    <x:row r="505" ht="71.19999694824219" customHeight="1">
      <x:c r="A505" s="498"/>
      <x:c r="B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C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D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E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F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G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H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I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J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K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L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c r="M505" s="508" t="str">
        <x:v>Version du 21 juillet 2018 : correction d’un problème d’immigration. Une conversation avec BartJan Fernhout, d’Arista Bee Research, et John Kefuss laisse penser que je devrais peut-être intégrer une mortalité accrue des fondatrices en plus d’un comportement VSH accru. Cela pourrait contribuer à expliquer les colonies « trou noir » de Kefuss, qui se débarrassent elles-mêmes de leurs varroas.</x:v>
      </x:c>
    </x:row>
    <x:row r="506" ht="56.400001525878906" customHeight="1">
      <x:c r="A506" s="498"/>
      <x:c r="B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C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D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E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F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G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H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I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J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K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L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c r="M506" s="508" t="str">
        <x:v>Version du 5 avril 2018 : j’ai corrigé un problème concernant les essaims sur cadres et les paquets d’abeilles, pour lesquels le taux de croissance des varroas était auparavant sous-estimé parce que le calcul du vieillissement des varroas commençait en janvier.</x:v>
      </x:c>
    </x:row>
    <x:row r="507" ht="86" customHeight="1">
      <x:c r="A507" s="498"/>
      <x:c r="B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C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D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E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F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G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H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I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J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K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L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c r="M507" s="508" t="str">
        <x:v>Version du 3 avril 2018 : les taux logarithmiques quotidiens r étaient trop élevés dans la version précédente. En m’appuyant sur Xie 2016, j’ai donc modifié la valeur du « taux d’infestation des abeilles sortantes par rapport aux jeunes adultes d’un comptage par lavage à l’alcool, lorsque l’infestation est faible ». J’ai également repéré une erreur dans le calcul du VSH. J’ai aussi ajusté le nombre de filles par fondatrice pour refléter les valeurs de r réellement attendues.</x:v>
      </x:c>
    </x:row>
    <x:row r="508" ht="56.400001525878906" customHeight="1">
      <x:c r="A508" s="498"/>
      <x:c r="B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C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D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E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F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G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H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I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J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K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L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c r="M508" s="508" t="str">
        <x:v>Version du 25 mars 2018 : j’ai supprimé l’ajustement pour la présence de plusieurs fondatrices dans une cellule, puisque les simulations supposent que vous maîtriserez les varroas. Il faut environ 3 fondatrices par cellule pour réduire le succès reproductif du parasite (Martin 1995) ; j’ai donc éliminé ces calculs.</x:v>
      </x:c>
    </x:row>
    <x:row r="509" ht="56.400001525878906" customHeight="1">
      <x:c r="A509" s="498"/>
      <x:c r="B509" s="508" t="str">
        <x:v>J’ai également modifié l’ajustement lié au vieillissement des varroas, car j’ai réalisé que, dans toute population initiale, une partie des varroas aurait déjà épuisé sa réserve de spermatozoïdes lors de la saison précédente.</x:v>
      </x:c>
      <x:c r="C509" s="508" t="str">
        <x:v>J’ai également modifié l’ajustement lié au vieillissement des varroas, car j’ai réalisé que, dans toute population initiale, une partie des varroas aurait déjà épuisé sa réserve de spermatozoïdes lors de la saison précédente.</x:v>
      </x:c>
      <x:c r="D509" s="508" t="str">
        <x:v>J’ai également modifié l’ajustement lié au vieillissement des varroas, car j’ai réalisé que, dans toute population initiale, une partie des varroas aurait déjà épuisé sa réserve de spermatozoïdes lors de la saison précédente.</x:v>
      </x:c>
      <x:c r="E509" s="508" t="str">
        <x:v>J’ai également modifié l’ajustement lié au vieillissement des varroas, car j’ai réalisé que, dans toute population initiale, une partie des varroas aurait déjà épuisé sa réserve de spermatozoïdes lors de la saison précédente.</x:v>
      </x:c>
      <x:c r="F509" s="508" t="str">
        <x:v>J’ai également modifié l’ajustement lié au vieillissement des varroas, car j’ai réalisé que, dans toute population initiale, une partie des varroas aurait déjà épuisé sa réserve de spermatozoïdes lors de la saison précédente.</x:v>
      </x:c>
      <x:c r="G509" s="508" t="str">
        <x:v>J’ai également modifié l’ajustement lié au vieillissement des varroas, car j’ai réalisé que, dans toute population initiale, une partie des varroas aurait déjà épuisé sa réserve de spermatozoïdes lors de la saison précédente.</x:v>
      </x:c>
      <x:c r="H509" s="508" t="str">
        <x:v>J’ai également modifié l’ajustement lié au vieillissement des varroas, car j’ai réalisé que, dans toute population initiale, une partie des varroas aurait déjà épuisé sa réserve de spermatozoïdes lors de la saison précédente.</x:v>
      </x:c>
      <x:c r="I509" s="508" t="str">
        <x:v>J’ai également modifié l’ajustement lié au vieillissement des varroas, car j’ai réalisé que, dans toute population initiale, une partie des varroas aurait déjà épuisé sa réserve de spermatozoïdes lors de la saison précédente.</x:v>
      </x:c>
      <x:c r="J509" s="508" t="str">
        <x:v>J’ai également modifié l’ajustement lié au vieillissement des varroas, car j’ai réalisé que, dans toute population initiale, une partie des varroas aurait déjà épuisé sa réserve de spermatozoïdes lors de la saison précédente.</x:v>
      </x:c>
      <x:c r="K509" s="508" t="str">
        <x:v>J’ai également modifié l’ajustement lié au vieillissement des varroas, car j’ai réalisé que, dans toute population initiale, une partie des varroas aurait déjà épuisé sa réserve de spermatozoïdes lors de la saison précédente.</x:v>
      </x:c>
      <x:c r="L509" s="508" t="str">
        <x:v>J’ai également modifié l’ajustement lié au vieillissement des varroas, car j’ai réalisé que, dans toute population initiale, une partie des varroas aurait déjà épuisé sa réserve de spermatozoïdes lors de la saison précédente.</x:v>
      </x:c>
      <x:c r="M509" s="508" t="str">
        <x:v>J’ai également modifié l’ajustement lié au vieillissement des varroas, car j’ai réalisé que, dans toute population initiale, une partie des varroas aurait déjà épuisé sa réserve de spermatozoïdes lors de la saison précédente.</x:v>
      </x:c>
    </x:row>
    <x:row r="510" ht="41.599998474121094" customHeight="1">
      <x:c r="A510" s="498"/>
      <x:c r="B510" s="508" t="str">
        <x:v>Version du 8 février 2018 : j’ai ajouté un nouvel onglet, Croissance comparée, afin de réfuter l’idée erronée selon laquelle les abeilles prennent de vitesse les varroas en début de saison.</x:v>
      </x:c>
      <x:c r="C510" s="508" t="str">
        <x:v>Version du 8 février 2018 : j’ai ajouté un nouvel onglet, Croissance comparée, afin de réfuter l’idée erronée selon laquelle les abeilles prennent de vitesse les varroas en début de saison.</x:v>
      </x:c>
      <x:c r="D510" s="508" t="str">
        <x:v>Version du 8 février 2018 : j’ai ajouté un nouvel onglet, Croissance comparée, afin de réfuter l’idée erronée selon laquelle les abeilles prennent de vitesse les varroas en début de saison.</x:v>
      </x:c>
      <x:c r="E510" s="508" t="str">
        <x:v>Version du 8 février 2018 : j’ai ajouté un nouvel onglet, Croissance comparée, afin de réfuter l’idée erronée selon laquelle les abeilles prennent de vitesse les varroas en début de saison.</x:v>
      </x:c>
      <x:c r="F510" s="508" t="str">
        <x:v>Version du 8 février 2018 : j’ai ajouté un nouvel onglet, Croissance comparée, afin de réfuter l’idée erronée selon laquelle les abeilles prennent de vitesse les varroas en début de saison.</x:v>
      </x:c>
      <x:c r="G510" s="508" t="str">
        <x:v>Version du 8 février 2018 : j’ai ajouté un nouvel onglet, Croissance comparée, afin de réfuter l’idée erronée selon laquelle les abeilles prennent de vitesse les varroas en début de saison.</x:v>
      </x:c>
      <x:c r="H510" s="508" t="str">
        <x:v>Version du 8 février 2018 : j’ai ajouté un nouvel onglet, Croissance comparée, afin de réfuter l’idée erronée selon laquelle les abeilles prennent de vitesse les varroas en début de saison.</x:v>
      </x:c>
      <x:c r="I510" s="508" t="str">
        <x:v>Version du 8 février 2018 : j’ai ajouté un nouvel onglet, Croissance comparée, afin de réfuter l’idée erronée selon laquelle les abeilles prennent de vitesse les varroas en début de saison.</x:v>
      </x:c>
      <x:c r="J510" s="508" t="str">
        <x:v>Version du 8 février 2018 : j’ai ajouté un nouvel onglet, Croissance comparée, afin de réfuter l’idée erronée selon laquelle les abeilles prennent de vitesse les varroas en début de saison.</x:v>
      </x:c>
      <x:c r="K510" s="508" t="str">
        <x:v>Version du 8 février 2018 : j’ai ajouté un nouvel onglet, Croissance comparée, afin de réfuter l’idée erronée selon laquelle les abeilles prennent de vitesse les varroas en début de saison.</x:v>
      </x:c>
      <x:c r="L510" s="508" t="str">
        <x:v>Version du 8 février 2018 : j’ai ajouté un nouvel onglet, Croissance comparée, afin de réfuter l’idée erronée selon laquelle les abeilles prennent de vitesse les varroas en début de saison.</x:v>
      </x:c>
      <x:c r="M510" s="508" t="str">
        <x:v>Version du 8 février 2018 : j’ai ajouté un nouvel onglet, Croissance comparée, afin de réfuter l’idée erronée selon laquelle les abeilles prennent de vitesse les varroas en début de saison.</x:v>
      </x:c>
    </x:row>
    <x:row r="511" ht="41.599998474121094" customHeight="1">
      <x:c r="A511" s="498"/>
      <x:c r="B511" s="508" t="str">
        <x:v>Version du 8 janvier 2018 : j’ai ajouté en V45 un commentaire sur la mortalité quotidienne des varroas phorétiques. J’ai remanié les courbes d’immigration des varroas. Quelques autres améliorations mineures.</x:v>
      </x:c>
      <x:c r="C511" s="508" t="str">
        <x:v>Version du 8 janvier 2018 : j’ai ajouté en V45 un commentaire sur la mortalité quotidienne des varroas phorétiques. J’ai remanié les courbes d’immigration des varroas. Quelques autres améliorations mineures.</x:v>
      </x:c>
      <x:c r="D511" s="508" t="str">
        <x:v>Version du 8 janvier 2018 : j’ai ajouté en V45 un commentaire sur la mortalité quotidienne des varroas phorétiques. J’ai remanié les courbes d’immigration des varroas. Quelques autres améliorations mineures.</x:v>
      </x:c>
      <x:c r="E511" s="508" t="str">
        <x:v>Version du 8 janvier 2018 : j’ai ajouté en V45 un commentaire sur la mortalité quotidienne des varroas phorétiques. J’ai remanié les courbes d’immigration des varroas. Quelques autres améliorations mineures.</x:v>
      </x:c>
      <x:c r="F511" s="508" t="str">
        <x:v>Version du 8 janvier 2018 : j’ai ajouté en V45 un commentaire sur la mortalité quotidienne des varroas phorétiques. J’ai remanié les courbes d’immigration des varroas. Quelques autres améliorations mineures.</x:v>
      </x:c>
      <x:c r="G511" s="508" t="str">
        <x:v>Version du 8 janvier 2018 : j’ai ajouté en V45 un commentaire sur la mortalité quotidienne des varroas phorétiques. J’ai remanié les courbes d’immigration des varroas. Quelques autres améliorations mineures.</x:v>
      </x:c>
      <x:c r="H511" s="508" t="str">
        <x:v>Version du 8 janvier 2018 : j’ai ajouté en V45 un commentaire sur la mortalité quotidienne des varroas phorétiques. J’ai remanié les courbes d’immigration des varroas. Quelques autres améliorations mineures.</x:v>
      </x:c>
      <x:c r="I511" s="508" t="str">
        <x:v>Version du 8 janvier 2018 : j’ai ajouté en V45 un commentaire sur la mortalité quotidienne des varroas phorétiques. J’ai remanié les courbes d’immigration des varroas. Quelques autres améliorations mineures.</x:v>
      </x:c>
      <x:c r="J511" s="508" t="str">
        <x:v>Version du 8 janvier 2018 : j’ai ajouté en V45 un commentaire sur la mortalité quotidienne des varroas phorétiques. J’ai remanié les courbes d’immigration des varroas. Quelques autres améliorations mineures.</x:v>
      </x:c>
      <x:c r="K511" s="508" t="str">
        <x:v>Version du 8 janvier 2018 : j’ai ajouté en V45 un commentaire sur la mortalité quotidienne des varroas phorétiques. J’ai remanié les courbes d’immigration des varroas. Quelques autres améliorations mineures.</x:v>
      </x:c>
      <x:c r="L511" s="508" t="str">
        <x:v>Version du 8 janvier 2018 : j’ai ajouté en V45 un commentaire sur la mortalité quotidienne des varroas phorétiques. J’ai remanié les courbes d’immigration des varroas. Quelques autres améliorations mineures.</x:v>
      </x:c>
      <x:c r="M511" s="508" t="str">
        <x:v>Version du 8 janvier 2018 : j’ai ajouté en V45 un commentaire sur la mortalité quotidienne des varroas phorétiques. J’ai remanié les courbes d’immigration des varroas. Quelques autres améliorations mineures.</x:v>
      </x:c>
    </x:row>
    <x:row r="512" ht="86" customHeight="1">
      <x:c r="A512" s="498"/>
      <x:c r="B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C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D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E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F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G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H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I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J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K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L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c r="M512" s="508" t="str">
        <x:v>Version du 16 décembre 2017 : déplacement du total des arrivées de varroas, correction de quelques autres coquilles et des dates de l’hémisphère Sud, ajout du facteur VSH. J’ai également ajouté la possibilité de créer votre propre profil d’arrivées de varroas en haut à droite de l’onglet Profils de colonie. Mes données de terrain suggèrent que, dans ma région, une arrivée de 500 varroas en septembre est une hypothèse raisonnable, certaines ruches subissant apparemment des arrivées de plus de 2 000 varroas.</x:v>
      </x:c>
    </x:row>
    <x:row r="513" ht="41.599998474121094" customHeight="1">
      <x:c r="A513" s="498"/>
      <x:c r="B513" s="508" t="str">
        <x:v>Version du 12 novembre 2017 : ajout des taux de mortalité dus à la sublimation d’acide oxalique ; rétablissement de la zone de texte Hypothèses de base, qui avait disparu pour une raison inconnue.</x:v>
      </x:c>
      <x:c r="C513" s="508" t="str">
        <x:v>Version du 12 novembre 2017 : ajout des taux de mortalité dus à la sublimation d’acide oxalique ; rétablissement de la zone de texte Hypothèses de base, qui avait disparu pour une raison inconnue.</x:v>
      </x:c>
      <x:c r="D513" s="508" t="str">
        <x:v>Version du 12 novembre 2017 : ajout des taux de mortalité dus à la sublimation d’acide oxalique ; rétablissement de la zone de texte Hypothèses de base, qui avait disparu pour une raison inconnue.</x:v>
      </x:c>
      <x:c r="E513" s="508" t="str">
        <x:v>Version du 12 novembre 2017 : ajout des taux de mortalité dus à la sublimation d’acide oxalique ; rétablissement de la zone de texte Hypothèses de base, qui avait disparu pour une raison inconnue.</x:v>
      </x:c>
      <x:c r="F513" s="508" t="str">
        <x:v>Version du 12 novembre 2017 : ajout des taux de mortalité dus à la sublimation d’acide oxalique ; rétablissement de la zone de texte Hypothèses de base, qui avait disparu pour une raison inconnue.</x:v>
      </x:c>
      <x:c r="G513" s="508" t="str">
        <x:v>Version du 12 novembre 2017 : ajout des taux de mortalité dus à la sublimation d’acide oxalique ; rétablissement de la zone de texte Hypothèses de base, qui avait disparu pour une raison inconnue.</x:v>
      </x:c>
      <x:c r="H513" s="508" t="str">
        <x:v>Version du 12 novembre 2017 : ajout des taux de mortalité dus à la sublimation d’acide oxalique ; rétablissement de la zone de texte Hypothèses de base, qui avait disparu pour une raison inconnue.</x:v>
      </x:c>
      <x:c r="I513" s="508" t="str">
        <x:v>Version du 12 novembre 2017 : ajout des taux de mortalité dus à la sublimation d’acide oxalique ; rétablissement de la zone de texte Hypothèses de base, qui avait disparu pour une raison inconnue.</x:v>
      </x:c>
      <x:c r="J513" s="508" t="str">
        <x:v>Version du 12 novembre 2017 : ajout des taux de mortalité dus à la sublimation d’acide oxalique ; rétablissement de la zone de texte Hypothèses de base, qui avait disparu pour une raison inconnue.</x:v>
      </x:c>
      <x:c r="K513" s="508" t="str">
        <x:v>Version du 12 novembre 2017 : ajout des taux de mortalité dus à la sublimation d’acide oxalique ; rétablissement de la zone de texte Hypothèses de base, qui avait disparu pour une raison inconnue.</x:v>
      </x:c>
      <x:c r="L513" s="508" t="str">
        <x:v>Version du 12 novembre 2017 : ajout des taux de mortalité dus à la sublimation d’acide oxalique ; rétablissement de la zone de texte Hypothèses de base, qui avait disparu pour une raison inconnue.</x:v>
      </x:c>
      <x:c r="M513" s="508" t="str">
        <x:v>Version du 12 novembre 2017 : ajout des taux de mortalité dus à la sublimation d’acide oxalique ; rétablissement de la zone de texte Hypothèses de base, qui avait disparu pour une raison inconnue.</x:v>
      </x:c>
    </x:row>
    <x:row r="514" ht="41.599998474121094" customHeight="1">
      <x:c r="A514" s="498"/>
      <x:c r="B514" s="508" t="str">
        <x:v>Version du 5 novembre 2017 : j’ai repéré une erreur qui sous-estimait les valeurs de r. J’ai également ajouté une saisie pour le degré de VSH exprimé par votre lignée d’abeilles.</x:v>
      </x:c>
      <x:c r="C514" s="508" t="str">
        <x:v>Version du 5 novembre 2017 : j’ai repéré une erreur qui sous-estimait les valeurs de r. J’ai également ajouté une saisie pour le degré de VSH exprimé par votre lignée d’abeilles.</x:v>
      </x:c>
      <x:c r="D514" s="508" t="str">
        <x:v>Version du 5 novembre 2017 : j’ai repéré une erreur qui sous-estimait les valeurs de r. J’ai également ajouté une saisie pour le degré de VSH exprimé par votre lignée d’abeilles.</x:v>
      </x:c>
      <x:c r="E514" s="508" t="str">
        <x:v>Version du 5 novembre 2017 : j’ai repéré une erreur qui sous-estimait les valeurs de r. J’ai également ajouté une saisie pour le degré de VSH exprimé par votre lignée d’abeilles.</x:v>
      </x:c>
      <x:c r="F514" s="508" t="str">
        <x:v>Version du 5 novembre 2017 : j’ai repéré une erreur qui sous-estimait les valeurs de r. J’ai également ajouté une saisie pour le degré de VSH exprimé par votre lignée d’abeilles.</x:v>
      </x:c>
      <x:c r="G514" s="508" t="str">
        <x:v>Version du 5 novembre 2017 : j’ai repéré une erreur qui sous-estimait les valeurs de r. J’ai également ajouté une saisie pour le degré de VSH exprimé par votre lignée d’abeilles.</x:v>
      </x:c>
      <x:c r="H514" s="508" t="str">
        <x:v>Version du 5 novembre 2017 : j’ai repéré une erreur qui sous-estimait les valeurs de r. J’ai également ajouté une saisie pour le degré de VSH exprimé par votre lignée d’abeilles.</x:v>
      </x:c>
      <x:c r="I514" s="508" t="str">
        <x:v>Version du 5 novembre 2017 : j’ai repéré une erreur qui sous-estimait les valeurs de r. J’ai également ajouté une saisie pour le degré de VSH exprimé par votre lignée d’abeilles.</x:v>
      </x:c>
      <x:c r="J514" s="508" t="str">
        <x:v>Version du 5 novembre 2017 : j’ai repéré une erreur qui sous-estimait les valeurs de r. J’ai également ajouté une saisie pour le degré de VSH exprimé par votre lignée d’abeilles.</x:v>
      </x:c>
      <x:c r="K514" s="508" t="str">
        <x:v>Version du 5 novembre 2017 : j’ai repéré une erreur qui sous-estimait les valeurs de r. J’ai également ajouté une saisie pour le degré de VSH exprimé par votre lignée d’abeilles.</x:v>
      </x:c>
      <x:c r="L514" s="508" t="str">
        <x:v>Version du 5 novembre 2017 : j’ai repéré une erreur qui sous-estimait les valeurs de r. J’ai également ajouté une saisie pour le degré de VSH exprimé par votre lignée d’abeilles.</x:v>
      </x:c>
      <x:c r="M514" s="508" t="str">
        <x:v>Version du 5 novembre 2017 : j’ai repéré une erreur qui sous-estimait les valeurs de r. J’ai également ajouté une saisie pour le degré de VSH exprimé par votre lignée d’abeilles.</x:v>
      </x:c>
    </x:row>
    <x:row r="515" ht="115.5999984741211" customHeight="1">
      <x:c r="A515" s="498"/>
      <x:c r="B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C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D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E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F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G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H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I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J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K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L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c r="M515" s="508" t="str">
        <x:v>Version du 15 octobre 2017 : je me suis rendu compte que mes calculs de pourcentage de couvain de mâles reposaient sur la surface et non sur le nombre de cellules. J’ai corrigé cela. Malheureusement, cette modification a légèrement réduit les taux r. Cette version du modèle risque maintenant de sous-estimer les taux d’augmentation des varroas. J’ai également ajouté la date du 31 décembre, retravaillé la fonction d’effondrement, ajouté une valeur maximale au comptage des varroas, modifié les quantités de couvain et d’abeilles dans les colonies « Par défaut » et « Randy », modifié les réglages des taux d’immigration des varroas et corrigé quelques erreurs de cellules liées.</x:v>
      </x:c>
    </x:row>
    <x:row r="516" ht="56.400001525878906" customHeight="1">
      <x:c r="A516" s="498"/>
      <x:c r="B516" s="508" t="str">
        <x:v>Version du 5 octobre 2017 : modification de la colonne W pour afficher la valeur nette de r plutôt que l’accroissement reproductif potentiel. Les valeurs du tableau sont masquées en cas d’effondrement de la colonie.</x:v>
      </x:c>
      <x:c r="C516" s="508" t="str">
        <x:v>Version du 5 octobre 2017 : modification de la colonne W pour afficher la valeur nette de r plutôt que l’accroissement reproductif potentiel. Les valeurs du tableau sont masquées en cas d’effondrement de la colonie.</x:v>
      </x:c>
      <x:c r="D516" s="508" t="str">
        <x:v>Version du 5 octobre 2017 : modification de la colonne W pour afficher la valeur nette de r plutôt que l’accroissement reproductif potentiel. Les valeurs du tableau sont masquées en cas d’effondrement de la colonie.</x:v>
      </x:c>
      <x:c r="E516" s="508" t="str">
        <x:v>Version du 5 octobre 2017 : modification de la colonne W pour afficher la valeur nette de r plutôt que l’accroissement reproductif potentiel. Les valeurs du tableau sont masquées en cas d’effondrement de la colonie.</x:v>
      </x:c>
      <x:c r="F516" s="508" t="str">
        <x:v>Version du 5 octobre 2017 : modification de la colonne W pour afficher la valeur nette de r plutôt que l’accroissement reproductif potentiel. Les valeurs du tableau sont masquées en cas d’effondrement de la colonie.</x:v>
      </x:c>
      <x:c r="G516" s="508" t="str">
        <x:v>Version du 5 octobre 2017 : modification de la colonne W pour afficher la valeur nette de r plutôt que l’accroissement reproductif potentiel. Les valeurs du tableau sont masquées en cas d’effondrement de la colonie.</x:v>
      </x:c>
      <x:c r="H516" s="508" t="str">
        <x:v>Version du 5 octobre 2017 : modification de la colonne W pour afficher la valeur nette de r plutôt que l’accroissement reproductif potentiel. Les valeurs du tableau sont masquées en cas d’effondrement de la colonie.</x:v>
      </x:c>
      <x:c r="I516" s="508" t="str">
        <x:v>Version du 5 octobre 2017 : modification de la colonne W pour afficher la valeur nette de r plutôt que l’accroissement reproductif potentiel. Les valeurs du tableau sont masquées en cas d’effondrement de la colonie.</x:v>
      </x:c>
      <x:c r="J516" s="508" t="str">
        <x:v>Version du 5 octobre 2017 : modification de la colonne W pour afficher la valeur nette de r plutôt que l’accroissement reproductif potentiel. Les valeurs du tableau sont masquées en cas d’effondrement de la colonie.</x:v>
      </x:c>
      <x:c r="K516" s="508" t="str">
        <x:v>Version du 5 octobre 2017 : modification de la colonne W pour afficher la valeur nette de r plutôt que l’accroissement reproductif potentiel. Les valeurs du tableau sont masquées en cas d’effondrement de la colonie.</x:v>
      </x:c>
      <x:c r="L516" s="508" t="str">
        <x:v>Version du 5 octobre 2017 : modification de la colonne W pour afficher la valeur nette de r plutôt que l’accroissement reproductif potentiel. Les valeurs du tableau sont masquées en cas d’effondrement de la colonie.</x:v>
      </x:c>
      <x:c r="M516" s="508" t="str">
        <x:v>Version du 5 octobre 2017 : modification de la colonne W pour afficher la valeur nette de r plutôt que l’accroissement reproductif potentiel. Les valeurs du tableau sont masquées en cas d’effondrement de la colonie.</x:v>
      </x:c>
    </x:row>
    <x:row r="517" ht="56.400001525878906" customHeight="1">
      <x:c r="A517" s="498"/>
      <x:c r="B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C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D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E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F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G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H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I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J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K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L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c r="M517" s="508" t="str">
        <x:v>Version du 1er octobre 2017 : j’ai amélioré les résultats du taux logarithmique quotidien r en corrigeant mon intervalle, passé des 15 jours d’origine à la durée plus précise de 15,20833 jours (365/24). J’ai également ajouté des commentaires et un graphique des valeurs d’immigration.</x:v>
      </x:c>
    </x:row>
    <x:row r="518" ht="41.599998474121094" customHeight="1">
      <x:c r="A518" s="498"/>
      <x:c r="B518" s="508" t="str">
        <x:v>Version du 30 septembre 2017 : j’ai inséré des commentaires dans toute la feuille Modèle principal pour expliquer les entrées et les calculs.</x:v>
      </x:c>
      <x:c r="C518" s="508" t="str">
        <x:v>Version du 30 septembre 2017 : j’ai inséré des commentaires dans toute la feuille Modèle principal pour expliquer les entrées et les calculs.</x:v>
      </x:c>
      <x:c r="D518" s="508" t="str">
        <x:v>Version du 30 septembre 2017 : j’ai inséré des commentaires dans toute la feuille Modèle principal pour expliquer les entrées et les calculs.</x:v>
      </x:c>
      <x:c r="E518" s="508" t="str">
        <x:v>Version du 30 septembre 2017 : j’ai inséré des commentaires dans toute la feuille Modèle principal pour expliquer les entrées et les calculs.</x:v>
      </x:c>
      <x:c r="F518" s="508" t="str">
        <x:v>Version du 30 septembre 2017 : j’ai inséré des commentaires dans toute la feuille Modèle principal pour expliquer les entrées et les calculs.</x:v>
      </x:c>
      <x:c r="G518" s="508" t="str">
        <x:v>Version du 30 septembre 2017 : j’ai inséré des commentaires dans toute la feuille Modèle principal pour expliquer les entrées et les calculs.</x:v>
      </x:c>
      <x:c r="H518" s="508" t="str">
        <x:v>Version du 30 septembre 2017 : j’ai inséré des commentaires dans toute la feuille Modèle principal pour expliquer les entrées et les calculs.</x:v>
      </x:c>
      <x:c r="I518" s="508" t="str">
        <x:v>Version du 30 septembre 2017 : j’ai inséré des commentaires dans toute la feuille Modèle principal pour expliquer les entrées et les calculs.</x:v>
      </x:c>
      <x:c r="J518" s="508" t="str">
        <x:v>Version du 30 septembre 2017 : j’ai inséré des commentaires dans toute la feuille Modèle principal pour expliquer les entrées et les calculs.</x:v>
      </x:c>
      <x:c r="K518" s="508" t="str">
        <x:v>Version du 30 septembre 2017 : j’ai inséré des commentaires dans toute la feuille Modèle principal pour expliquer les entrées et les calculs.</x:v>
      </x:c>
      <x:c r="L518" s="508" t="str">
        <x:v>Version du 30 septembre 2017 : j’ai inséré des commentaires dans toute la feuille Modèle principal pour expliquer les entrées et les calculs.</x:v>
      </x:c>
      <x:c r="M518" s="508" t="str">
        <x:v>Version du 30 septembre 2017 : j’ai inséré des commentaires dans toute la feuille Modèle principal pour expliquer les entrées et les calculs.</x:v>
      </x:c>
    </x:row>
    <x:row r="519" ht="115.5999984741211" customHeight="1">
      <x:c r="A519" s="498"/>
      <x:c r="B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C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D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E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F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G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H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I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J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K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L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c r="M519" s="508" t="str">
        <x:v>Version du 20 septembre 2017 : bien que les versions des derniers mois reproduisent très bien les comptages de varroas, j’ai apporté une modification majeure à cette version pour tenir compte de la proportion de varroas qui n’avaient pas été fécondés ou avaient perdu leur fécondité. J’ai en même temps changé l’ordre des calculs des naissances, de la mortalité, de l’émigration, de l’immigration et du traitement (colonnes BZ à CL). Cette modification a résolu un problème persistant des versions précédentes : la population de varroas ne diminuait pas assez rapidement à la fin de l’été et en automne. Je pourrai encore réajuster l’ordre des calculs ultérieurement.</x:v>
      </x:c>
    </x:row>
    <x:row r="520" ht="100.80000305175781" customHeight="1">
      <x:c r="A520" s="498"/>
      <x:c r="B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C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D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E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F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G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H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I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J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K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L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c r="M520" s="508" t="str">
        <x:v>La modification a résolu le problème de fin d’été, mais les valeurs de r des simulations d’avril à septembre étaient désormais un peu inférieures à celles des mesures de terrain ; pour les réglages par défaut, je vise un r d’environ 0,020. Pour compenser, j’ai augmenté le nombre de filles par cellule d’ouvrière par défaut de 1,45 à 1,5, et le succès de fécondation de 75 % à 80 %. Je ne suis pas tout à fait à l’aise avec ces nouvelles valeurs, car les précédentes étaient plus proches des moyennes des mesures de terrain. Je pense donc qu’il reste quelque chose à ajuster.</x:v>
      </x:c>
    </x:row>
    <x:row r="521" ht="18" customHeight="1">
      <x:c r="A521" s="498"/>
      <x:c r="B521" s="498"/>
      <x:c r="C521" s="498"/>
      <x:c r="D521" s="498"/>
      <x:c r="E521" s="498"/>
      <x:c r="F521" s="498"/>
      <x:c r="G521" s="498"/>
      <x:c r="H521" s="498"/>
      <x:c r="I521" s="498"/>
      <x:c r="J521" s="498"/>
      <x:c r="K521" s="498"/>
      <x:c r="L521" s="498"/>
      <x:c r="M521" s="498"/>
    </x:row>
    <x:row r="522" ht="18" customHeight="1">
      <x:c r="A522" s="498"/>
      <x:c r="B522" s="498"/>
      <x:c r="C522" s="498"/>
      <x:c r="D522" s="498"/>
      <x:c r="E522" s="498"/>
      <x:c r="F522" s="498"/>
      <x:c r="G522" s="498"/>
      <x:c r="H522" s="498"/>
      <x:c r="I522" s="498"/>
      <x:c r="J522" s="498"/>
      <x:c r="K522" s="498"/>
      <x:c r="L522" s="498"/>
      <x:c r="M522" s="498"/>
    </x:row>
    <x:row r="523" ht="18" customHeight="1">
      <x:c r="A523" s="498"/>
      <x:c r="B523" s="525" t="str">
        <x:v>Données à étudier</x:v>
      </x:c>
      <x:c r="C523" s="525" t="str">
        <x:v>Données à étudier</x:v>
      </x:c>
      <x:c r="D523" s="525" t="str">
        <x:v>Données à étudier</x:v>
      </x:c>
      <x:c r="E523" s="525" t="str">
        <x:v>Données à étudier</x:v>
      </x:c>
      <x:c r="F523" s="525" t="str">
        <x:v>Données à étudier</x:v>
      </x:c>
      <x:c r="G523" s="525" t="str">
        <x:v>Données à étudier</x:v>
      </x:c>
      <x:c r="H523" s="525" t="str">
        <x:v>Données à étudier</x:v>
      </x:c>
      <x:c r="I523" s="525" t="str">
        <x:v>Données à étudier</x:v>
      </x:c>
      <x:c r="J523" s="525" t="str">
        <x:v>Données à étudier</x:v>
      </x:c>
      <x:c r="K523" s="525" t="str">
        <x:v>Données à étudier</x:v>
      </x:c>
      <x:c r="L523" s="525" t="str">
        <x:v>Données à étudier</x:v>
      </x:c>
      <x:c r="M523" s="525" t="str">
        <x:v>Données à étudier</x:v>
      </x:c>
    </x:row>
    <x:row r="524" ht="18" customHeight="1">
      <x:c r="A524" s="498"/>
      <x:c r="B524" s="525" t="str">
        <x:v>Données à étudier</x:v>
      </x:c>
      <x:c r="C524" s="525" t="str">
        <x:v>Données à étudier</x:v>
      </x:c>
      <x:c r="D524" s="525" t="str">
        <x:v>Données à étudier</x:v>
      </x:c>
      <x:c r="E524" s="525" t="str">
        <x:v>Données à étudier</x:v>
      </x:c>
      <x:c r="F524" s="525" t="str">
        <x:v>Données à étudier</x:v>
      </x:c>
      <x:c r="G524" s="525" t="str">
        <x:v>Données à étudier</x:v>
      </x:c>
      <x:c r="H524" s="525" t="str">
        <x:v>Données à étudier</x:v>
      </x:c>
      <x:c r="I524" s="525" t="str">
        <x:v>Données à étudier</x:v>
      </x:c>
      <x:c r="J524" s="525" t="str">
        <x:v>Données à étudier</x:v>
      </x:c>
      <x:c r="K524" s="525" t="str">
        <x:v>Données à étudier</x:v>
      </x:c>
      <x:c r="L524" s="525" t="str">
        <x:v>Données à étudier</x:v>
      </x:c>
      <x:c r="M524" s="525" t="str">
        <x:v>Données à étudier</x:v>
      </x:c>
    </x:row>
    <x:row r="525" ht="18" customHeight="1">
      <x:c r="A525" s="498"/>
      <x:c r="B525" s="498"/>
      <x:c r="C525" s="498"/>
      <x:c r="D525" s="498"/>
      <x:c r="E525" s="498"/>
      <x:c r="F525" s="498"/>
      <x:c r="G525" s="498"/>
      <x:c r="H525" s="498"/>
      <x:c r="I525" s="498"/>
      <x:c r="J525" s="498"/>
      <x:c r="K525" s="498"/>
      <x:c r="L525" s="498"/>
      <x:c r="M525" s="498"/>
    </x:row>
    <x:row r="526" ht="18" customHeight="1">
      <x:c r="A526" s="498"/>
      <x:c r="B526" s="529" t="str">
        <x:v>Explication de Randy Oliver · B19</x:v>
      </x:c>
      <x:c r="C526" s="529" t="str">
        <x:v>Explication de Randy Oliver · B19</x:v>
      </x:c>
      <x:c r="D526" s="529" t="str">
        <x:v>Explication de Randy Oliver · B19</x:v>
      </x:c>
      <x:c r="E526" s="529" t="str">
        <x:v>Explication de Randy Oliver · B19</x:v>
      </x:c>
      <x:c r="F526" s="529" t="str">
        <x:v>Explication de Randy Oliver · B19</x:v>
      </x:c>
      <x:c r="G526" s="529" t="str">
        <x:v>Explication de Randy Oliver · B19</x:v>
      </x:c>
      <x:c r="H526" s="529" t="str">
        <x:v>Explication de Randy Oliver · B19</x:v>
      </x:c>
      <x:c r="I526" s="529" t="str">
        <x:v>Explication de Randy Oliver · B19</x:v>
      </x:c>
      <x:c r="J526" s="529" t="str">
        <x:v>Explication de Randy Oliver · B19</x:v>
      </x:c>
      <x:c r="K526" s="529" t="str">
        <x:v>Explication de Randy Oliver · B19</x:v>
      </x:c>
      <x:c r="L526" s="529" t="str">
        <x:v>Explication de Randy Oliver · B19</x:v>
      </x:c>
      <x:c r="M526" s="529" t="str">
        <x:v>Explication de Randy Oliver · B19</x:v>
      </x:c>
    </x:row>
    <x:row r="527" ht="31" customHeight="1">
      <x:c r="A527" s="498"/>
      <x:c r="B527" s="508" t="str">
        <x:v>Karl Kunert &amp; Karl Crailsheim (1988) Variations saisonnières des teneurs en glucides, </x:v>
      </x:c>
      <x:c r="C527" s="508" t="str">
        <x:v>Karl Kunert &amp; Karl Crailsheim (1988) Variations saisonnières des teneurs en glucides, </x:v>
      </x:c>
      <x:c r="D527" s="508" t="str">
        <x:v>Karl Kunert &amp; Karl Crailsheim (1988) Variations saisonnières des teneurs en glucides, </x:v>
      </x:c>
      <x:c r="E527" s="508" t="str">
        <x:v>Karl Kunert &amp; Karl Crailsheim (1988) Variations saisonnières des teneurs en glucides, </x:v>
      </x:c>
      <x:c r="F527" s="508" t="str">
        <x:v>Karl Kunert &amp; Karl Crailsheim (1988) Variations saisonnières des teneurs en glucides, </x:v>
      </x:c>
      <x:c r="G527" s="508" t="str">
        <x:v>Karl Kunert &amp; Karl Crailsheim (1988) Variations saisonnières des teneurs en glucides, </x:v>
      </x:c>
      <x:c r="H527" s="508" t="str">
        <x:v>Karl Kunert &amp; Karl Crailsheim (1988) Variations saisonnières des teneurs en glucides, </x:v>
      </x:c>
      <x:c r="I527" s="508" t="str">
        <x:v>Karl Kunert &amp; Karl Crailsheim (1988) Variations saisonnières des teneurs en glucides, </x:v>
      </x:c>
      <x:c r="J527" s="508" t="str">
        <x:v>Karl Kunert &amp; Karl Crailsheim (1988) Variations saisonnières des teneurs en glucides, </x:v>
      </x:c>
      <x:c r="K527" s="508" t="str">
        <x:v>Karl Kunert &amp; Karl Crailsheim (1988) Variations saisonnières des teneurs en glucides, </x:v>
      </x:c>
      <x:c r="L527" s="508" t="str">
        <x:v>Karl Kunert &amp; Karl Crailsheim (1988) Variations saisonnières des teneurs en glucides, </x:v>
      </x:c>
      <x:c r="M527" s="508" t="str">
        <x:v>Karl Kunert &amp; Karl Crailsheim (1988) Variations saisonnières des teneurs en glucides, </x:v>
      </x:c>
    </x:row>
    <x:row r="528" ht="31" customHeight="1">
      <x:c r="A528" s="498"/>
      <x:c r="B528" s="508" t="str">
        <x:v>lipides et protéines chez les ouvrières à l’émergence, et de leur mortalité, Journal of Apicultural </x:v>
      </x:c>
      <x:c r="C528" s="508" t="str">
        <x:v>lipides et protéines chez les ouvrières à l’émergence, et de leur mortalité, Journal of Apicultural </x:v>
      </x:c>
      <x:c r="D528" s="508" t="str">
        <x:v>lipides et protéines chez les ouvrières à l’émergence, et de leur mortalité, Journal of Apicultural </x:v>
      </x:c>
      <x:c r="E528" s="508" t="str">
        <x:v>lipides et protéines chez les ouvrières à l’émergence, et de leur mortalité, Journal of Apicultural </x:v>
      </x:c>
      <x:c r="F528" s="508" t="str">
        <x:v>lipides et protéines chez les ouvrières à l’émergence, et de leur mortalité, Journal of Apicultural </x:v>
      </x:c>
      <x:c r="G528" s="508" t="str">
        <x:v>lipides et protéines chez les ouvrières à l’émergence, et de leur mortalité, Journal of Apicultural </x:v>
      </x:c>
      <x:c r="H528" s="508" t="str">
        <x:v>lipides et protéines chez les ouvrières à l’émergence, et de leur mortalité, Journal of Apicultural </x:v>
      </x:c>
      <x:c r="I528" s="508" t="str">
        <x:v>lipides et protéines chez les ouvrières à l’émergence, et de leur mortalité, Journal of Apicultural </x:v>
      </x:c>
      <x:c r="J528" s="508" t="str">
        <x:v>lipides et protéines chez les ouvrières à l’émergence, et de leur mortalité, Journal of Apicultural </x:v>
      </x:c>
      <x:c r="K528" s="508" t="str">
        <x:v>lipides et protéines chez les ouvrières à l’émergence, et de leur mortalité, Journal of Apicultural </x:v>
      </x:c>
      <x:c r="L528" s="508" t="str">
        <x:v>lipides et protéines chez les ouvrières à l’émergence, et de leur mortalité, Journal of Apicultural </x:v>
      </x:c>
      <x:c r="M528" s="508" t="str">
        <x:v>lipides et protéines chez les ouvrières à l’émergence, et de leur mortalité, Journal of Apicultural </x:v>
      </x:c>
    </x:row>
    <x:row r="529" ht="31" customHeight="1">
      <x:c r="A529" s="498"/>
      <x:c r="B529" s="508" t="str">
        <x:v>Research, 27:1, 13–21, DOI : </x:v>
      </x:c>
      <x:c r="C529" s="508" t="str">
        <x:v>Research, 27:1, 13–21, DOI : </x:v>
      </x:c>
      <x:c r="D529" s="508" t="str">
        <x:v>Research, 27:1, 13–21, DOI : </x:v>
      </x:c>
      <x:c r="E529" s="508" t="str">
        <x:v>Research, 27:1, 13–21, DOI : </x:v>
      </x:c>
      <x:c r="F529" s="508" t="str">
        <x:v>Research, 27:1, 13–21, DOI : </x:v>
      </x:c>
      <x:c r="G529" s="508" t="str">
        <x:v>Research, 27:1, 13–21, DOI : </x:v>
      </x:c>
      <x:c r="H529" s="508" t="str">
        <x:v>Research, 27:1, 13–21, DOI : </x:v>
      </x:c>
      <x:c r="I529" s="508" t="str">
        <x:v>Research, 27:1, 13–21, DOI : </x:v>
      </x:c>
      <x:c r="J529" s="508" t="str">
        <x:v>Research, 27:1, 13–21, DOI : </x:v>
      </x:c>
      <x:c r="K529" s="508" t="str">
        <x:v>Research, 27:1, 13–21, DOI : </x:v>
      </x:c>
      <x:c r="L529" s="508" t="str">
        <x:v>Research, 27:1, 13–21, DOI : </x:v>
      </x:c>
      <x:c r="M529" s="508" t="str">
        <x:v>Research, 27:1, 13–21, DOI : </x:v>
      </x:c>
    </x:row>
    <x:row r="530" ht="31" customHeight="1">
      <x:c r="A530" s="498"/>
      <x:c r="B530" s="508" t="str">
        <x:v>10.1080/00218839.1988.11100775</x:v>
      </x:c>
      <x:c r="C530" s="508" t="str">
        <x:v>10.1080/00218839.1988.11100775</x:v>
      </x:c>
      <x:c r="D530" s="508" t="str">
        <x:v>10.1080/00218839.1988.11100775</x:v>
      </x:c>
      <x:c r="E530" s="508" t="str">
        <x:v>10.1080/00218839.1988.11100775</x:v>
      </x:c>
      <x:c r="F530" s="508" t="str">
        <x:v>10.1080/00218839.1988.11100775</x:v>
      </x:c>
      <x:c r="G530" s="508" t="str">
        <x:v>10.1080/00218839.1988.11100775</x:v>
      </x:c>
      <x:c r="H530" s="508" t="str">
        <x:v>10.1080/00218839.1988.11100775</x:v>
      </x:c>
      <x:c r="I530" s="508" t="str">
        <x:v>10.1080/00218839.1988.11100775</x:v>
      </x:c>
      <x:c r="J530" s="508" t="str">
        <x:v>10.1080/00218839.1988.11100775</x:v>
      </x:c>
      <x:c r="K530" s="508" t="str">
        <x:v>10.1080/00218839.1988.11100775</x:v>
      </x:c>
      <x:c r="L530" s="508" t="str">
        <x:v>10.1080/00218839.1988.11100775</x:v>
      </x:c>
      <x:c r="M530" s="508" t="str">
        <x:v>10.1080/00218839.1988.11100775</x:v>
      </x:c>
    </x:row>
    <x:row r="531" ht="31" customHeight="1">
      <x:c r="A531" s="498"/>
      <x:c r="B531" s="508" t="str">
        <x:v>Données de Styrie (Autriche).</x:v>
      </x:c>
      <x:c r="C531" s="508" t="str">
        <x:v>Données de Styrie (Autriche).</x:v>
      </x:c>
      <x:c r="D531" s="508" t="str">
        <x:v>Données de Styrie (Autriche).</x:v>
      </x:c>
      <x:c r="E531" s="508" t="str">
        <x:v>Données de Styrie (Autriche).</x:v>
      </x:c>
      <x:c r="F531" s="508" t="str">
        <x:v>Données de Styrie (Autriche).</x:v>
      </x:c>
      <x:c r="G531" s="508" t="str">
        <x:v>Données de Styrie (Autriche).</x:v>
      </x:c>
      <x:c r="H531" s="508" t="str">
        <x:v>Données de Styrie (Autriche).</x:v>
      </x:c>
      <x:c r="I531" s="508" t="str">
        <x:v>Données de Styrie (Autriche).</x:v>
      </x:c>
      <x:c r="J531" s="508" t="str">
        <x:v>Données de Styrie (Autriche).</x:v>
      </x:c>
      <x:c r="K531" s="508" t="str">
        <x:v>Données de Styrie (Autriche).</x:v>
      </x:c>
      <x:c r="L531" s="508" t="str">
        <x:v>Données de Styrie (Autriche).</x:v>
      </x:c>
      <x:c r="M531" s="508" t="str">
        <x:v>Données de Styrie (Autriche).</x:v>
      </x:c>
    </x:row>
    <x:row r="532" ht="18" customHeight="1">
      <x:c r="A532" s="498"/>
      <x:c r="B532" s="498"/>
      <x:c r="C532" s="498"/>
      <x:c r="D532" s="498"/>
      <x:c r="E532" s="498"/>
      <x:c r="F532" s="498"/>
      <x:c r="G532" s="498"/>
      <x:c r="H532" s="498"/>
      <x:c r="I532" s="498"/>
      <x:c r="J532" s="498"/>
      <x:c r="K532" s="498"/>
      <x:c r="L532" s="498"/>
      <x:c r="M532" s="498"/>
    </x:row>
    <x:row r="533" ht="18" customHeight="1">
      <x:c r="A533" s="498"/>
      <x:c r="B533" s="529" t="str">
        <x:v>Explication de Randy Oliver · J33</x:v>
      </x:c>
      <x:c r="C533" s="529" t="str">
        <x:v>Explication de Randy Oliver · J33</x:v>
      </x:c>
      <x:c r="D533" s="529" t="str">
        <x:v>Explication de Randy Oliver · J33</x:v>
      </x:c>
      <x:c r="E533" s="529" t="str">
        <x:v>Explication de Randy Oliver · J33</x:v>
      </x:c>
      <x:c r="F533" s="529" t="str">
        <x:v>Explication de Randy Oliver · J33</x:v>
      </x:c>
      <x:c r="G533" s="529" t="str">
        <x:v>Explication de Randy Oliver · J33</x:v>
      </x:c>
      <x:c r="H533" s="529" t="str">
        <x:v>Explication de Randy Oliver · J33</x:v>
      </x:c>
      <x:c r="I533" s="529" t="str">
        <x:v>Explication de Randy Oliver · J33</x:v>
      </x:c>
      <x:c r="J533" s="529" t="str">
        <x:v>Explication de Randy Oliver · J33</x:v>
      </x:c>
      <x:c r="K533" s="529" t="str">
        <x:v>Explication de Randy Oliver · J33</x:v>
      </x:c>
      <x:c r="L533" s="529" t="str">
        <x:v>Explication de Randy Oliver · J33</x:v>
      </x:c>
      <x:c r="M533" s="529" t="str">
        <x:v>Explication de Randy Oliver · J33</x:v>
      </x:c>
    </x:row>
    <x:row r="534" ht="31" customHeight="1">
      <x:c r="A534" s="498"/>
      <x:c r="B534" s="508" t="str">
        <x:v>Requier, F, et al. (2017) Les effets différés d’une pénurie de pollen réduisent la</x:v>
      </x:c>
      <x:c r="C534" s="508" t="str">
        <x:v>Requier, F, et al. (2017) Les effets différés d’une pénurie de pollen réduisent la</x:v>
      </x:c>
      <x:c r="D534" s="508" t="str">
        <x:v>Requier, F, et al. (2017) Les effets différés d’une pénurie de pollen réduisent la</x:v>
      </x:c>
      <x:c r="E534" s="508" t="str">
        <x:v>Requier, F, et al. (2017) Les effets différés d’une pénurie de pollen réduisent la</x:v>
      </x:c>
      <x:c r="F534" s="508" t="str">
        <x:v>Requier, F, et al. (2017) Les effets différés d’une pénurie de pollen réduisent la</x:v>
      </x:c>
      <x:c r="G534" s="508" t="str">
        <x:v>Requier, F, et al. (2017) Les effets différés d’une pénurie de pollen réduisent la</x:v>
      </x:c>
      <x:c r="H534" s="508" t="str">
        <x:v>Requier, F, et al. (2017) Les effets différés d’une pénurie de pollen réduisent la</x:v>
      </x:c>
      <x:c r="I534" s="508" t="str">
        <x:v>Requier, F, et al. (2017) Les effets différés d’une pénurie de pollen réduisent la</x:v>
      </x:c>
      <x:c r="J534" s="508" t="str">
        <x:v>Requier, F, et al. (2017) Les effets différés d’une pénurie de pollen réduisent la</x:v>
      </x:c>
      <x:c r="K534" s="508" t="str">
        <x:v>Requier, F, et al. (2017) Les effets différés d’une pénurie de pollen réduisent la</x:v>
      </x:c>
      <x:c r="L534" s="508" t="str">
        <x:v>Requier, F, et al. (2017) Les effets différés d’une pénurie de pollen réduisent la</x:v>
      </x:c>
      <x:c r="M534" s="508" t="str">
        <x:v>Requier, F, et al. (2017) Les effets différés d’une pénurie de pollen réduisent la</x:v>
      </x:c>
    </x:row>
    <x:row r="535" ht="31" customHeight="1">
      <x:c r="A535" s="498"/>
      <x:c r="B535" s="508" t="str">
        <x:v>survie des colonies d’abeilles en milieu agricole. J. Appl. Ecol. 54: 1161–1170.</x:v>
      </x:c>
      <x:c r="C535" s="508" t="str">
        <x:v>survie des colonies d’abeilles en milieu agricole. J. Appl. Ecol. 54: 1161–1170.</x:v>
      </x:c>
      <x:c r="D535" s="508" t="str">
        <x:v>survie des colonies d’abeilles en milieu agricole. J. Appl. Ecol. 54: 1161–1170.</x:v>
      </x:c>
      <x:c r="E535" s="508" t="str">
        <x:v>survie des colonies d’abeilles en milieu agricole. J. Appl. Ecol. 54: 1161–1170.</x:v>
      </x:c>
      <x:c r="F535" s="508" t="str">
        <x:v>survie des colonies d’abeilles en milieu agricole. J. Appl. Ecol. 54: 1161–1170.</x:v>
      </x:c>
      <x:c r="G535" s="508" t="str">
        <x:v>survie des colonies d’abeilles en milieu agricole. J. Appl. Ecol. 54: 1161–1170.</x:v>
      </x:c>
      <x:c r="H535" s="508" t="str">
        <x:v>survie des colonies d’abeilles en milieu agricole. J. Appl. Ecol. 54: 1161–1170.</x:v>
      </x:c>
      <x:c r="I535" s="508" t="str">
        <x:v>survie des colonies d’abeilles en milieu agricole. J. Appl. Ecol. 54: 1161–1170.</x:v>
      </x:c>
      <x:c r="J535" s="508" t="str">
        <x:v>survie des colonies d’abeilles en milieu agricole. J. Appl. Ecol. 54: 1161–1170.</x:v>
      </x:c>
      <x:c r="K535" s="508" t="str">
        <x:v>survie des colonies d’abeilles en milieu agricole. J. Appl. Ecol. 54: 1161–1170.</x:v>
      </x:c>
      <x:c r="L535" s="508" t="str">
        <x:v>survie des colonies d’abeilles en milieu agricole. J. Appl. Ecol. 54: 1161–1170.</x:v>
      </x:c>
      <x:c r="M535" s="508" t="str">
        <x:v>survie des colonies d’abeilles en milieu agricole. J. Appl. Ecol. 54: 1161–1170.</x:v>
      </x:c>
    </x:row>
    <x:row r="536" ht="18" customHeight="1">
      <x:c r="A536" s="498"/>
      <x:c r="B536" s="498"/>
      <x:c r="C536" s="498"/>
      <x:c r="D536" s="498"/>
      <x:c r="E536" s="498"/>
      <x:c r="F536" s="498"/>
      <x:c r="G536" s="498"/>
      <x:c r="H536" s="498"/>
      <x:c r="I536" s="498"/>
      <x:c r="J536" s="498"/>
      <x:c r="K536" s="498"/>
      <x:c r="L536" s="498"/>
      <x:c r="M536" s="498"/>
    </x:row>
    <x:row r="537" ht="18" customHeight="1">
      <x:c r="A537" s="498"/>
      <x:c r="B537" s="529" t="str">
        <x:v>Explication de Randy Oliver · B38</x:v>
      </x:c>
      <x:c r="C537" s="529" t="str">
        <x:v>Explication de Randy Oliver · B38</x:v>
      </x:c>
      <x:c r="D537" s="529" t="str">
        <x:v>Explication de Randy Oliver · B38</x:v>
      </x:c>
      <x:c r="E537" s="529" t="str">
        <x:v>Explication de Randy Oliver · B38</x:v>
      </x:c>
      <x:c r="F537" s="529" t="str">
        <x:v>Explication de Randy Oliver · B38</x:v>
      </x:c>
      <x:c r="G537" s="529" t="str">
        <x:v>Explication de Randy Oliver · B38</x:v>
      </x:c>
      <x:c r="H537" s="529" t="str">
        <x:v>Explication de Randy Oliver · B38</x:v>
      </x:c>
      <x:c r="I537" s="529" t="str">
        <x:v>Explication de Randy Oliver · B38</x:v>
      </x:c>
      <x:c r="J537" s="529" t="str">
        <x:v>Explication de Randy Oliver · B38</x:v>
      </x:c>
      <x:c r="K537" s="529" t="str">
        <x:v>Explication de Randy Oliver · B38</x:v>
      </x:c>
      <x:c r="L537" s="529" t="str">
        <x:v>Explication de Randy Oliver · B38</x:v>
      </x:c>
      <x:c r="M537" s="529" t="str">
        <x:v>Explication de Randy Oliver · B38</x:v>
      </x:c>
    </x:row>
    <x:row r="538" ht="31" customHeight="1">
      <x:c r="A538" s="498"/>
      <x:c r="B538" s="508" t="str">
        <x:v>Ajustement du taux de mortalité des varroas</x:v>
      </x:c>
      <x:c r="C538" s="508" t="str">
        <x:v>Ajustement du taux de mortalité des varroas</x:v>
      </x:c>
      <x:c r="D538" s="508" t="str">
        <x:v>Ajustement du taux de mortalité des varroas</x:v>
      </x:c>
      <x:c r="E538" s="508" t="str">
        <x:v>Ajustement du taux de mortalité des varroas</x:v>
      </x:c>
      <x:c r="F538" s="508" t="str">
        <x:v>Ajustement du taux de mortalité des varroas</x:v>
      </x:c>
      <x:c r="G538" s="508" t="str">
        <x:v>Ajustement du taux de mortalité des varroas</x:v>
      </x:c>
      <x:c r="H538" s="508" t="str">
        <x:v>Ajustement du taux de mortalité des varroas</x:v>
      </x:c>
      <x:c r="I538" s="508" t="str">
        <x:v>Ajustement du taux de mortalité des varroas</x:v>
      </x:c>
      <x:c r="J538" s="508" t="str">
        <x:v>Ajustement du taux de mortalité des varroas</x:v>
      </x:c>
      <x:c r="K538" s="508" t="str">
        <x:v>Ajustement du taux de mortalité des varroas</x:v>
      </x:c>
      <x:c r="L538" s="508" t="str">
        <x:v>Ajustement du taux de mortalité des varroas</x:v>
      </x:c>
      <x:c r="M538" s="508" t="str">
        <x:v>Ajustement du taux de mortalité des varroas</x:v>
      </x:c>
    </x:row>
    <x:row r="539" ht="86" customHeight="1">
      <x:c r="A539" s="498"/>
      <x:c r="B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C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D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E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F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G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H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I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J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K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L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c r="M539" s="508" t="str">
        <x:v>Le taux de mortalité quotidien des varroas femelles adultes pendant les périodes d’émergence du couvain était de 0,069 ± 0,015 varroa par jour en 1995 et de 0,054 ± 0,026 varroa par jour en 1996. Lorsqu’aucun couvain n’émergeait, c’est-à-dire pour la mortalité pendant la période phorétique, les taux de mortalité quotidiens étaient de 0,0045 ± 0,0017 varroa par jour en 1995 et de 0,0076 ± 0,0052 varroa par jour en 1996. Martin 1997, JAR 36(3/4): 113–123</x:v>
      </x:c>
    </x:row>
    <x:row r="540" ht="18" customHeight="1">
      <x:c r="A540" s="498"/>
      <x:c r="B540" s="498"/>
      <x:c r="C540" s="498"/>
      <x:c r="D540" s="498"/>
      <x:c r="E540" s="498"/>
      <x:c r="F540" s="498"/>
      <x:c r="G540" s="498"/>
      <x:c r="H540" s="498"/>
      <x:c r="I540" s="498"/>
      <x:c r="J540" s="498"/>
      <x:c r="K540" s="498"/>
      <x:c r="L540" s="498"/>
      <x:c r="M540" s="498"/>
    </x:row>
    <x:row r="541" ht="18" customHeight="1">
      <x:c r="A541" s="498"/>
      <x:c r="B541" s="529" t="str">
        <x:v>Explication de Randy Oliver · B76</x:v>
      </x:c>
      <x:c r="C541" s="529" t="str">
        <x:v>Explication de Randy Oliver · B76</x:v>
      </x:c>
      <x:c r="D541" s="529" t="str">
        <x:v>Explication de Randy Oliver · B76</x:v>
      </x:c>
      <x:c r="E541" s="529" t="str">
        <x:v>Explication de Randy Oliver · B76</x:v>
      </x:c>
      <x:c r="F541" s="529" t="str">
        <x:v>Explication de Randy Oliver · B76</x:v>
      </x:c>
      <x:c r="G541" s="529" t="str">
        <x:v>Explication de Randy Oliver · B76</x:v>
      </x:c>
      <x:c r="H541" s="529" t="str">
        <x:v>Explication de Randy Oliver · B76</x:v>
      </x:c>
      <x:c r="I541" s="529" t="str">
        <x:v>Explication de Randy Oliver · B76</x:v>
      </x:c>
      <x:c r="J541" s="529" t="str">
        <x:v>Explication de Randy Oliver · B76</x:v>
      </x:c>
      <x:c r="K541" s="529" t="str">
        <x:v>Explication de Randy Oliver · B76</x:v>
      </x:c>
      <x:c r="L541" s="529" t="str">
        <x:v>Explication de Randy Oliver · B76</x:v>
      </x:c>
      <x:c r="M541" s="529" t="str">
        <x:v>Explication de Randy Oliver · B76</x:v>
      </x:c>
    </x:row>
    <x:row r="542" ht="41.599998474121094" customHeight="1">
      <x:c r="A542" s="498"/>
      <x:c r="B542" s="508" t="str">
        <x:v>Comment le niveau d’infestation par Varroa destructor influence la répartition des cellules multi-infestées dans le couvain d’ouvrières d’Apis mellifera</x:v>
      </x:c>
      <x:c r="C542" s="508" t="str">
        <x:v>Comment le niveau d’infestation par Varroa destructor influence la répartition des cellules multi-infestées dans le couvain d’ouvrières d’Apis mellifera</x:v>
      </x:c>
      <x:c r="D542" s="508" t="str">
        <x:v>Comment le niveau d’infestation par Varroa destructor influence la répartition des cellules multi-infestées dans le couvain d’ouvrières d’Apis mellifera</x:v>
      </x:c>
      <x:c r="E542" s="508" t="str">
        <x:v>Comment le niveau d’infestation par Varroa destructor influence la répartition des cellules multi-infestées dans le couvain d’ouvrières d’Apis mellifera</x:v>
      </x:c>
      <x:c r="F542" s="508" t="str">
        <x:v>Comment le niveau d’infestation par Varroa destructor influence la répartition des cellules multi-infestées dans le couvain d’ouvrières d’Apis mellifera</x:v>
      </x:c>
      <x:c r="G542" s="508" t="str">
        <x:v>Comment le niveau d’infestation par Varroa destructor influence la répartition des cellules multi-infestées dans le couvain d’ouvrières d’Apis mellifera</x:v>
      </x:c>
      <x:c r="H542" s="508" t="str">
        <x:v>Comment le niveau d’infestation par Varroa destructor influence la répartition des cellules multi-infestées dans le couvain d’ouvrières d’Apis mellifera</x:v>
      </x:c>
      <x:c r="I542" s="508" t="str">
        <x:v>Comment le niveau d’infestation par Varroa destructor influence la répartition des cellules multi-infestées dans le couvain d’ouvrières d’Apis mellifera</x:v>
      </x:c>
      <x:c r="J542" s="508" t="str">
        <x:v>Comment le niveau d’infestation par Varroa destructor influence la répartition des cellules multi-infestées dans le couvain d’ouvrières d’Apis mellifera</x:v>
      </x:c>
      <x:c r="K542" s="508" t="str">
        <x:v>Comment le niveau d’infestation par Varroa destructor influence la répartition des cellules multi-infestées dans le couvain d’ouvrières d’Apis mellifera</x:v>
      </x:c>
      <x:c r="L542" s="508" t="str">
        <x:v>Comment le niveau d’infestation par Varroa destructor influence la répartition des cellules multi-infestées dans le couvain d’ouvrières d’Apis mellifera</x:v>
      </x:c>
      <x:c r="M542" s="508" t="str">
        <x:v>Comment le niveau d’infestation par Varroa destructor influence la répartition des cellules multi-infestées dans le couvain d’ouvrières d’Apis mellifera</x:v>
      </x:c>
    </x:row>
    <x:row r="543" ht="41.599998474121094" customHeight="1">
      <x:c r="A543" s="498"/>
      <x:c r="B543" s="508" t="str">
        <x:v>par Ignazio Floris*, Michelina Pusceddu et Alberto Satta. Vet. Sci. 2020, 7(3), 136 ; https://doi.org/10.3390/vetsci7030136</x:v>
      </x:c>
      <x:c r="C543" s="508" t="str">
        <x:v>par Ignazio Floris*, Michelina Pusceddu et Alberto Satta. Vet. Sci. 2020, 7(3), 136 ; https://doi.org/10.3390/vetsci7030136</x:v>
      </x:c>
      <x:c r="D543" s="508" t="str">
        <x:v>par Ignazio Floris*, Michelina Pusceddu et Alberto Satta. Vet. Sci. 2020, 7(3), 136 ; https://doi.org/10.3390/vetsci7030136</x:v>
      </x:c>
      <x:c r="E543" s="508" t="str">
        <x:v>par Ignazio Floris*, Michelina Pusceddu et Alberto Satta. Vet. Sci. 2020, 7(3), 136 ; https://doi.org/10.3390/vetsci7030136</x:v>
      </x:c>
      <x:c r="F543" s="508" t="str">
        <x:v>par Ignazio Floris*, Michelina Pusceddu et Alberto Satta. Vet. Sci. 2020, 7(3), 136 ; https://doi.org/10.3390/vetsci7030136</x:v>
      </x:c>
      <x:c r="G543" s="508" t="str">
        <x:v>par Ignazio Floris*, Michelina Pusceddu et Alberto Satta. Vet. Sci. 2020, 7(3), 136 ; https://doi.org/10.3390/vetsci7030136</x:v>
      </x:c>
      <x:c r="H543" s="508" t="str">
        <x:v>par Ignazio Floris*, Michelina Pusceddu et Alberto Satta. Vet. Sci. 2020, 7(3), 136 ; https://doi.org/10.3390/vetsci7030136</x:v>
      </x:c>
      <x:c r="I543" s="508" t="str">
        <x:v>par Ignazio Floris*, Michelina Pusceddu et Alberto Satta. Vet. Sci. 2020, 7(3), 136 ; https://doi.org/10.3390/vetsci7030136</x:v>
      </x:c>
      <x:c r="J543" s="508" t="str">
        <x:v>par Ignazio Floris*, Michelina Pusceddu et Alberto Satta. Vet. Sci. 2020, 7(3), 136 ; https://doi.org/10.3390/vetsci7030136</x:v>
      </x:c>
      <x:c r="K543" s="508" t="str">
        <x:v>par Ignazio Floris*, Michelina Pusceddu et Alberto Satta. Vet. Sci. 2020, 7(3), 136 ; https://doi.org/10.3390/vetsci7030136</x:v>
      </x:c>
      <x:c r="L543" s="508" t="str">
        <x:v>par Ignazio Floris*, Michelina Pusceddu et Alberto Satta. Vet. Sci. 2020, 7(3), 136 ; https://doi.org/10.3390/vetsci7030136</x:v>
      </x:c>
      <x:c r="M543" s="508" t="str">
        <x:v>par Ignazio Floris*, Michelina Pusceddu et Alberto Satta. Vet. Sci. 2020, 7(3), 136 ; https://doi.org/10.3390/vetsci7030136</x:v>
      </x:c>
    </x:row>
    <x:row r="544" ht="18" customHeight="1">
      <x:c r="A544" s="498"/>
      <x:c r="B544" s="498"/>
      <x:c r="C544" s="498"/>
      <x:c r="D544" s="498"/>
      <x:c r="E544" s="498"/>
      <x:c r="F544" s="498"/>
      <x:c r="G544" s="498"/>
      <x:c r="H544" s="498"/>
      <x:c r="I544" s="498"/>
      <x:c r="J544" s="498"/>
      <x:c r="K544" s="498"/>
      <x:c r="L544" s="498"/>
      <x:c r="M544" s="498"/>
    </x:row>
    <x:row r="545" ht="18" customHeight="1">
      <x:c r="A545" s="498"/>
      <x:c r="B545" s="529" t="str">
        <x:v>Explication de Randy Oliver · U50</x:v>
      </x:c>
      <x:c r="C545" s="529" t="str">
        <x:v>Explication de Randy Oliver · U50</x:v>
      </x:c>
      <x:c r="D545" s="529" t="str">
        <x:v>Explication de Randy Oliver · U50</x:v>
      </x:c>
      <x:c r="E545" s="529" t="str">
        <x:v>Explication de Randy Oliver · U50</x:v>
      </x:c>
      <x:c r="F545" s="529" t="str">
        <x:v>Explication de Randy Oliver · U50</x:v>
      </x:c>
      <x:c r="G545" s="529" t="str">
        <x:v>Explication de Randy Oliver · U50</x:v>
      </x:c>
      <x:c r="H545" s="529" t="str">
        <x:v>Explication de Randy Oliver · U50</x:v>
      </x:c>
      <x:c r="I545" s="529" t="str">
        <x:v>Explication de Randy Oliver · U50</x:v>
      </x:c>
      <x:c r="J545" s="529" t="str">
        <x:v>Explication de Randy Oliver · U50</x:v>
      </x:c>
      <x:c r="K545" s="529" t="str">
        <x:v>Explication de Randy Oliver · U50</x:v>
      </x:c>
      <x:c r="L545" s="529" t="str">
        <x:v>Explication de Randy Oliver · U50</x:v>
      </x:c>
      <x:c r="M545" s="529" t="str">
        <x:v>Explication de Randy Oliver · U50</x:v>
      </x:c>
    </x:row>
    <x:row r="546" ht="31" customHeight="1">
      <x:c r="A546" s="498"/>
      <x:c r="B546" s="508" t="str">
        <x:v>Les effets différés d’une pénurie de pollen réduisent la survie des colonies d’abeilles en milieu agricole</x:v>
      </x:c>
      <x:c r="C546" s="508" t="str">
        <x:v>Les effets différés d’une pénurie de pollen réduisent la survie des colonies d’abeilles en milieu agricole</x:v>
      </x:c>
      <x:c r="D546" s="508" t="str">
        <x:v>Les effets différés d’une pénurie de pollen réduisent la survie des colonies d’abeilles en milieu agricole</x:v>
      </x:c>
      <x:c r="E546" s="508" t="str">
        <x:v>Les effets différés d’une pénurie de pollen réduisent la survie des colonies d’abeilles en milieu agricole</x:v>
      </x:c>
      <x:c r="F546" s="508" t="str">
        <x:v>Les effets différés d’une pénurie de pollen réduisent la survie des colonies d’abeilles en milieu agricole</x:v>
      </x:c>
      <x:c r="G546" s="508" t="str">
        <x:v>Les effets différés d’une pénurie de pollen réduisent la survie des colonies d’abeilles en milieu agricole</x:v>
      </x:c>
      <x:c r="H546" s="508" t="str">
        <x:v>Les effets différés d’une pénurie de pollen réduisent la survie des colonies d’abeilles en milieu agricole</x:v>
      </x:c>
      <x:c r="I546" s="508" t="str">
        <x:v>Les effets différés d’une pénurie de pollen réduisent la survie des colonies d’abeilles en milieu agricole</x:v>
      </x:c>
      <x:c r="J546" s="508" t="str">
        <x:v>Les effets différés d’une pénurie de pollen réduisent la survie des colonies d’abeilles en milieu agricole</x:v>
      </x:c>
      <x:c r="K546" s="508" t="str">
        <x:v>Les effets différés d’une pénurie de pollen réduisent la survie des colonies d’abeilles en milieu agricole</x:v>
      </x:c>
      <x:c r="L546" s="508" t="str">
        <x:v>Les effets différés d’une pénurie de pollen réduisent la survie des colonies d’abeilles en milieu agricole</x:v>
      </x:c>
      <x:c r="M546" s="508" t="str">
        <x:v>Les effets différés d’une pénurie de pollen réduisent la survie des colonies d’abeilles en milieu agricole</x:v>
      </x:c>
    </x:row>
    <x:row r="547" ht="31" customHeight="1">
      <x:c r="A547" s="498"/>
      <x:c r="B547" s="508" t="str">
        <x:v>Juillet 2017</x:v>
      </x:c>
      <x:c r="C547" s="508" t="str">
        <x:v>Juillet 2017</x:v>
      </x:c>
      <x:c r="D547" s="508" t="str">
        <x:v>Juillet 2017</x:v>
      </x:c>
      <x:c r="E547" s="508" t="str">
        <x:v>Juillet 2017</x:v>
      </x:c>
      <x:c r="F547" s="508" t="str">
        <x:v>Juillet 2017</x:v>
      </x:c>
      <x:c r="G547" s="508" t="str">
        <x:v>Juillet 2017</x:v>
      </x:c>
      <x:c r="H547" s="508" t="str">
        <x:v>Juillet 2017</x:v>
      </x:c>
      <x:c r="I547" s="508" t="str">
        <x:v>Juillet 2017</x:v>
      </x:c>
      <x:c r="J547" s="508" t="str">
        <x:v>Juillet 2017</x:v>
      </x:c>
      <x:c r="K547" s="508" t="str">
        <x:v>Juillet 2017</x:v>
      </x:c>
      <x:c r="L547" s="508" t="str">
        <x:v>Juillet 2017</x:v>
      </x:c>
      <x:c r="M547" s="508" t="str">
        <x:v>Juillet 2017</x:v>
      </x:c>
    </x:row>
    <x:row r="548" ht="31" customHeight="1">
      <x:c r="A548" s="498"/>
      <x:c r="B548" s="508" t="str">
        <x:v>Journal of Applied Ecology 54(4):1161-1170</x:v>
      </x:c>
      <x:c r="C548" s="508" t="str">
        <x:v>Journal of Applied Ecology 54(4):1161-1170</x:v>
      </x:c>
      <x:c r="D548" s="508" t="str">
        <x:v>Journal of Applied Ecology 54(4):1161-1170</x:v>
      </x:c>
      <x:c r="E548" s="508" t="str">
        <x:v>Journal of Applied Ecology 54(4):1161-1170</x:v>
      </x:c>
      <x:c r="F548" s="508" t="str">
        <x:v>Journal of Applied Ecology 54(4):1161-1170</x:v>
      </x:c>
      <x:c r="G548" s="508" t="str">
        <x:v>Journal of Applied Ecology 54(4):1161-1170</x:v>
      </x:c>
      <x:c r="H548" s="508" t="str">
        <x:v>Journal of Applied Ecology 54(4):1161-1170</x:v>
      </x:c>
      <x:c r="I548" s="508" t="str">
        <x:v>Journal of Applied Ecology 54(4):1161-1170</x:v>
      </x:c>
      <x:c r="J548" s="508" t="str">
        <x:v>Journal of Applied Ecology 54(4):1161-1170</x:v>
      </x:c>
      <x:c r="K548" s="508" t="str">
        <x:v>Journal of Applied Ecology 54(4):1161-1170</x:v>
      </x:c>
      <x:c r="L548" s="508" t="str">
        <x:v>Journal of Applied Ecology 54(4):1161-1170</x:v>
      </x:c>
      <x:c r="M548" s="508" t="str">
        <x:v>Journal of Applied Ecology 54(4):1161-1170</x:v>
      </x:c>
    </x:row>
    <x:row r="549" ht="18" customHeight="1">
      <x:c r="A549" s="498"/>
      <x:c r="B549" s="498"/>
      <x:c r="C549" s="498"/>
      <x:c r="D549" s="498"/>
      <x:c r="E549" s="498"/>
      <x:c r="F549" s="498"/>
      <x:c r="G549" s="498"/>
      <x:c r="H549" s="498"/>
      <x:c r="I549" s="498"/>
      <x:c r="J549" s="498"/>
      <x:c r="K549" s="498"/>
      <x:c r="L549" s="498"/>
      <x:c r="M549" s="498"/>
    </x:row>
    <x:row r="550" ht="18" customHeight="1">
      <x:c r="A550" s="498"/>
      <x:c r="B550" s="529" t="str">
        <x:v>Explication de Randy Oliver · B81</x:v>
      </x:c>
      <x:c r="C550" s="529" t="str">
        <x:v>Explication de Randy Oliver · B81</x:v>
      </x:c>
      <x:c r="D550" s="529" t="str">
        <x:v>Explication de Randy Oliver · B81</x:v>
      </x:c>
      <x:c r="E550" s="529" t="str">
        <x:v>Explication de Randy Oliver · B81</x:v>
      </x:c>
      <x:c r="F550" s="529" t="str">
        <x:v>Explication de Randy Oliver · B81</x:v>
      </x:c>
      <x:c r="G550" s="529" t="str">
        <x:v>Explication de Randy Oliver · B81</x:v>
      </x:c>
      <x:c r="H550" s="529" t="str">
        <x:v>Explication de Randy Oliver · B81</x:v>
      </x:c>
      <x:c r="I550" s="529" t="str">
        <x:v>Explication de Randy Oliver · B81</x:v>
      </x:c>
      <x:c r="J550" s="529" t="str">
        <x:v>Explication de Randy Oliver · B81</x:v>
      </x:c>
      <x:c r="K550" s="529" t="str">
        <x:v>Explication de Randy Oliver · B81</x:v>
      </x:c>
      <x:c r="L550" s="529" t="str">
        <x:v>Explication de Randy Oliver · B81</x:v>
      </x:c>
      <x:c r="M550" s="529" t="str">
        <x:v>Explication de Randy Oliver · B81</x:v>
      </x:c>
    </x:row>
    <x:row r="551" ht="31" customHeight="1">
      <x:c r="A551" s="498"/>
      <x:c r="B551" s="508" t="str">
        <x:v>Il faut intégrer les éléments ci-dessus</x:v>
      </x:c>
      <x:c r="C551" s="508" t="str">
        <x:v>Il faut intégrer les éléments ci-dessus</x:v>
      </x:c>
      <x:c r="D551" s="508" t="str">
        <x:v>Il faut intégrer les éléments ci-dessus</x:v>
      </x:c>
      <x:c r="E551" s="508" t="str">
        <x:v>Il faut intégrer les éléments ci-dessus</x:v>
      </x:c>
      <x:c r="F551" s="508" t="str">
        <x:v>Il faut intégrer les éléments ci-dessus</x:v>
      </x:c>
      <x:c r="G551" s="508" t="str">
        <x:v>Il faut intégrer les éléments ci-dessus</x:v>
      </x:c>
      <x:c r="H551" s="508" t="str">
        <x:v>Il faut intégrer les éléments ci-dessus</x:v>
      </x:c>
      <x:c r="I551" s="508" t="str">
        <x:v>Il faut intégrer les éléments ci-dessus</x:v>
      </x:c>
      <x:c r="J551" s="508" t="str">
        <x:v>Il faut intégrer les éléments ci-dessus</x:v>
      </x:c>
      <x:c r="K551" s="508" t="str">
        <x:v>Il faut intégrer les éléments ci-dessus</x:v>
      </x:c>
      <x:c r="L551" s="508" t="str">
        <x:v>Il faut intégrer les éléments ci-dessus</x:v>
      </x:c>
      <x:c r="M551" s="508" t="str">
        <x:v>Il faut intégrer les éléments ci-dessus</x:v>
      </x:c>
    </x:row>
    <x:row r="552" ht="31" customHeight="1">
      <x:c r="A552" s="498"/>
      <x:c r="B552" s="508" t="str">
        <x:v>https://www.mdpi.com/2306-7381/7/3/136</x:v>
      </x:c>
      <x:c r="C552" s="508" t="str">
        <x:v>https://www.mdpi.com/2306-7381/7/3/136</x:v>
      </x:c>
      <x:c r="D552" s="508" t="str">
        <x:v>https://www.mdpi.com/2306-7381/7/3/136</x:v>
      </x:c>
      <x:c r="E552" s="508" t="str">
        <x:v>https://www.mdpi.com/2306-7381/7/3/136</x:v>
      </x:c>
      <x:c r="F552" s="508" t="str">
        <x:v>https://www.mdpi.com/2306-7381/7/3/136</x:v>
      </x:c>
      <x:c r="G552" s="508" t="str">
        <x:v>https://www.mdpi.com/2306-7381/7/3/136</x:v>
      </x:c>
      <x:c r="H552" s="508" t="str">
        <x:v>https://www.mdpi.com/2306-7381/7/3/136</x:v>
      </x:c>
      <x:c r="I552" s="508" t="str">
        <x:v>https://www.mdpi.com/2306-7381/7/3/136</x:v>
      </x:c>
      <x:c r="J552" s="508" t="str">
        <x:v>https://www.mdpi.com/2306-7381/7/3/136</x:v>
      </x:c>
      <x:c r="K552" s="508" t="str">
        <x:v>https://www.mdpi.com/2306-7381/7/3/136</x:v>
      </x:c>
      <x:c r="L552" s="508" t="str">
        <x:v>https://www.mdpi.com/2306-7381/7/3/136</x:v>
      </x:c>
      <x:c r="M552" s="508" t="str">
        <x:v>https://www.mdpi.com/2306-7381/7/3/136</x:v>
      </x:c>
    </x:row>
    <x:row r="553" ht="18" customHeight="1">
      <x:c r="A553" s="498"/>
      <x:c r="B553" s="498"/>
      <x:c r="C553" s="498"/>
      <x:c r="D553" s="498"/>
      <x:c r="E553" s="498"/>
      <x:c r="F553" s="498"/>
      <x:c r="G553" s="498"/>
      <x:c r="H553" s="498"/>
      <x:c r="I553" s="498"/>
      <x:c r="J553" s="498"/>
      <x:c r="K553" s="498"/>
      <x:c r="L553" s="498"/>
      <x:c r="M553" s="498"/>
    </x:row>
    <x:row r="554" ht="18" customHeight="1">
      <x:c r="A554" s="498"/>
      <x:c r="B554" s="529" t="str">
        <x:v>Texte de la feuille · B31</x:v>
      </x:c>
      <x:c r="C554" s="529" t="str">
        <x:v>Texte de la feuille · B31</x:v>
      </x:c>
      <x:c r="D554" s="529" t="str">
        <x:v>Texte de la feuille · B31</x:v>
      </x:c>
      <x:c r="E554" s="529" t="str">
        <x:v>Texte de la feuille · B31</x:v>
      </x:c>
      <x:c r="F554" s="529" t="str">
        <x:v>Texte de la feuille · B31</x:v>
      </x:c>
      <x:c r="G554" s="529" t="str">
        <x:v>Texte de la feuille · B31</x:v>
      </x:c>
      <x:c r="H554" s="529" t="str">
        <x:v>Texte de la feuille · B31</x:v>
      </x:c>
      <x:c r="I554" s="529" t="str">
        <x:v>Texte de la feuille · B31</x:v>
      </x:c>
      <x:c r="J554" s="529" t="str">
        <x:v>Texte de la feuille · B31</x:v>
      </x:c>
      <x:c r="K554" s="529" t="str">
        <x:v>Texte de la feuille · B31</x:v>
      </x:c>
      <x:c r="L554" s="529" t="str">
        <x:v>Texte de la feuille · B31</x:v>
      </x:c>
      <x:c r="M554" s="529" t="str">
        <x:v>Texte de la feuille · B31</x:v>
      </x:c>
    </x:row>
    <x:row r="555" ht="56.400001525878906" customHeight="1">
      <x:c r="A555" s="498"/>
      <x:c r="B555" s="508" t="str">
        <x:v>En Italie, à la fin de l’été, 40–48 % de la somme suivante — chute naturelle totale de varroas sur 25 jours + total des varroas tombés à la suite d’un traitement puissant sur 6 semaines — sont tombés pendant ces 25 jours.</x:v>
      </x:c>
      <x:c r="C555" s="508" t="str">
        <x:v>En Italie, à la fin de l’été, 40–48 % de la somme suivante — chute naturelle totale de varroas sur 25 jours + total des varroas tombés à la suite d’un traitement puissant sur 6 semaines — sont tombés pendant ces 25 jours.</x:v>
      </x:c>
      <x:c r="D555" s="508" t="str">
        <x:v>En Italie, à la fin de l’été, 40–48 % de la somme suivante — chute naturelle totale de varroas sur 25 jours + total des varroas tombés à la suite d’un traitement puissant sur 6 semaines — sont tombés pendant ces 25 jours.</x:v>
      </x:c>
      <x:c r="E555" s="508" t="str">
        <x:v>En Italie, à la fin de l’été, 40–48 % de la somme suivante — chute naturelle totale de varroas sur 25 jours + total des varroas tombés à la suite d’un traitement puissant sur 6 semaines — sont tombés pendant ces 25 jours.</x:v>
      </x:c>
      <x:c r="F555" s="508" t="str">
        <x:v>En Italie, à la fin de l’été, 40–48 % de la somme suivante — chute naturelle totale de varroas sur 25 jours + total des varroas tombés à la suite d’un traitement puissant sur 6 semaines — sont tombés pendant ces 25 jours.</x:v>
      </x:c>
      <x:c r="G555" s="508" t="str">
        <x:v>En Italie, à la fin de l’été, 40–48 % de la somme suivante — chute naturelle totale de varroas sur 25 jours + total des varroas tombés à la suite d’un traitement puissant sur 6 semaines — sont tombés pendant ces 25 jours.</x:v>
      </x:c>
      <x:c r="H555" s="508" t="str">
        <x:v>En Italie, à la fin de l’été, 40–48 % de la somme suivante — chute naturelle totale de varroas sur 25 jours + total des varroas tombés à la suite d’un traitement puissant sur 6 semaines — sont tombés pendant ces 25 jours.</x:v>
      </x:c>
      <x:c r="I555" s="508" t="str">
        <x:v>En Italie, à la fin de l’été, 40–48 % de la somme suivante — chute naturelle totale de varroas sur 25 jours + total des varroas tombés à la suite d’un traitement puissant sur 6 semaines — sont tombés pendant ces 25 jours.</x:v>
      </x:c>
      <x:c r="J555" s="508" t="str">
        <x:v>En Italie, à la fin de l’été, 40–48 % de la somme suivante — chute naturelle totale de varroas sur 25 jours + total des varroas tombés à la suite d’un traitement puissant sur 6 semaines — sont tombés pendant ces 25 jours.</x:v>
      </x:c>
      <x:c r="K555" s="508" t="str">
        <x:v>En Italie, à la fin de l’été, 40–48 % de la somme suivante — chute naturelle totale de varroas sur 25 jours + total des varroas tombés à la suite d’un traitement puissant sur 6 semaines — sont tombés pendant ces 25 jours.</x:v>
      </x:c>
      <x:c r="L555" s="508" t="str">
        <x:v>En Italie, à la fin de l’été, 40–48 % de la somme suivante — chute naturelle totale de varroas sur 25 jours + total des varroas tombés à la suite d’un traitement puissant sur 6 semaines — sont tombés pendant ces 25 jours.</x:v>
      </x:c>
      <x:c r="M555" s="508" t="str">
        <x:v>En Italie, à la fin de l’été, 40–48 % de la somme suivante — chute naturelle totale de varroas sur 25 jours + total des varroas tombés à la suite d’un traitement puissant sur 6 semaines — sont tombés pendant ces 25 jours.</x:v>
      </x:c>
    </x:row>
    <x:row r="556" ht="18" customHeight="1">
      <x:c r="A556" s="498"/>
      <x:c r="B556" s="498"/>
      <x:c r="C556" s="498"/>
      <x:c r="D556" s="498"/>
      <x:c r="E556" s="498"/>
      <x:c r="F556" s="498"/>
      <x:c r="G556" s="498"/>
      <x:c r="H556" s="498"/>
      <x:c r="I556" s="498"/>
      <x:c r="J556" s="498"/>
      <x:c r="K556" s="498"/>
      <x:c r="L556" s="498"/>
      <x:c r="M556" s="498"/>
    </x:row>
    <x:row r="557" ht="18" customHeight="1">
      <x:c r="A557" s="498"/>
      <x:c r="B557" s="498"/>
      <x:c r="C557" s="498"/>
      <x:c r="D557" s="498"/>
      <x:c r="E557" s="498"/>
      <x:c r="F557" s="498"/>
      <x:c r="G557" s="498"/>
      <x:c r="H557" s="498"/>
      <x:c r="I557" s="498"/>
      <x:c r="J557" s="498"/>
      <x:c r="K557" s="498"/>
      <x:c r="L557" s="498"/>
      <x:c r="M557" s="498"/>
    </x:row>
    <x:row r="558" ht="18" customHeight="1">
      <x:c r="A558" s="498"/>
      <x:c r="B558" s="525" t="str">
        <x:v>Rupture de couvain</x:v>
      </x:c>
      <x:c r="C558" s="525" t="str">
        <x:v>Rupture de couvain</x:v>
      </x:c>
      <x:c r="D558" s="525" t="str">
        <x:v>Rupture de couvain</x:v>
      </x:c>
      <x:c r="E558" s="525" t="str">
        <x:v>Rupture de couvain</x:v>
      </x:c>
      <x:c r="F558" s="525" t="str">
        <x:v>Rupture de couvain</x:v>
      </x:c>
      <x:c r="G558" s="525" t="str">
        <x:v>Rupture de couvain</x:v>
      </x:c>
      <x:c r="H558" s="525" t="str">
        <x:v>Rupture de couvain</x:v>
      </x:c>
      <x:c r="I558" s="525" t="str">
        <x:v>Rupture de couvain</x:v>
      </x:c>
      <x:c r="J558" s="525" t="str">
        <x:v>Rupture de couvain</x:v>
      </x:c>
      <x:c r="K558" s="525" t="str">
        <x:v>Rupture de couvain</x:v>
      </x:c>
      <x:c r="L558" s="525" t="str">
        <x:v>Rupture de couvain</x:v>
      </x:c>
      <x:c r="M558" s="525" t="str">
        <x:v>Rupture de couvain</x:v>
      </x:c>
    </x:row>
    <x:row r="559" ht="18" customHeight="1">
      <x:c r="A559" s="498"/>
      <x:c r="B559" s="525" t="str">
        <x:v>Rupture de couvain</x:v>
      </x:c>
      <x:c r="C559" s="525" t="str">
        <x:v>Rupture de couvain</x:v>
      </x:c>
      <x:c r="D559" s="525" t="str">
        <x:v>Rupture de couvain</x:v>
      </x:c>
      <x:c r="E559" s="525" t="str">
        <x:v>Rupture de couvain</x:v>
      </x:c>
      <x:c r="F559" s="525" t="str">
        <x:v>Rupture de couvain</x:v>
      </x:c>
      <x:c r="G559" s="525" t="str">
        <x:v>Rupture de couvain</x:v>
      </x:c>
      <x:c r="H559" s="525" t="str">
        <x:v>Rupture de couvain</x:v>
      </x:c>
      <x:c r="I559" s="525" t="str">
        <x:v>Rupture de couvain</x:v>
      </x:c>
      <x:c r="J559" s="525" t="str">
        <x:v>Rupture de couvain</x:v>
      </x:c>
      <x:c r="K559" s="525" t="str">
        <x:v>Rupture de couvain</x:v>
      </x:c>
      <x:c r="L559" s="525" t="str">
        <x:v>Rupture de couvain</x:v>
      </x:c>
      <x:c r="M559" s="525" t="str">
        <x:v>Rupture de couvain</x:v>
      </x:c>
    </x:row>
    <x:row r="560" ht="18" customHeight="1">
      <x:c r="A560" s="498"/>
      <x:c r="B560" s="498"/>
      <x:c r="C560" s="498"/>
      <x:c r="D560" s="498"/>
      <x:c r="E560" s="498"/>
      <x:c r="F560" s="498"/>
      <x:c r="G560" s="498"/>
      <x:c r="H560" s="498"/>
      <x:c r="I560" s="498"/>
      <x:c r="J560" s="498"/>
      <x:c r="K560" s="498"/>
      <x:c r="L560" s="498"/>
      <x:c r="M560" s="498"/>
    </x:row>
    <x:row r="561" ht="18" customHeight="1">
      <x:c r="A561" s="498"/>
      <x:c r="B561" s="529" t="str">
        <x:v>Explication de Randy Oliver · B1</x:v>
      </x:c>
      <x:c r="C561" s="529" t="str">
        <x:v>Explication de Randy Oliver · B1</x:v>
      </x:c>
      <x:c r="D561" s="529" t="str">
        <x:v>Explication de Randy Oliver · B1</x:v>
      </x:c>
      <x:c r="E561" s="529" t="str">
        <x:v>Explication de Randy Oliver · B1</x:v>
      </x:c>
      <x:c r="F561" s="529" t="str">
        <x:v>Explication de Randy Oliver · B1</x:v>
      </x:c>
      <x:c r="G561" s="529" t="str">
        <x:v>Explication de Randy Oliver · B1</x:v>
      </x:c>
      <x:c r="H561" s="529" t="str">
        <x:v>Explication de Randy Oliver · B1</x:v>
      </x:c>
      <x:c r="I561" s="529" t="str">
        <x:v>Explication de Randy Oliver · B1</x:v>
      </x:c>
      <x:c r="J561" s="529" t="str">
        <x:v>Explication de Randy Oliver · B1</x:v>
      </x:c>
      <x:c r="K561" s="529" t="str">
        <x:v>Explication de Randy Oliver · B1</x:v>
      </x:c>
      <x:c r="L561" s="529" t="str">
        <x:v>Explication de Randy Oliver · B1</x:v>
      </x:c>
      <x:c r="M561" s="529" t="str">
        <x:v>Explication de Randy Oliver · B1</x:v>
      </x:c>
    </x:row>
    <x:row r="562" ht="100.80000305175781" customHeight="1">
      <x:c r="A562" s="498"/>
      <x:c r="B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C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D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E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F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G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H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I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J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K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L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c r="M562" s="508" t="str">
        <x:v>Une rupture de couvain provoquée par le retrait de la reine. Après ce retrait, il faut généralement à la colonie 22–30 jours pour qu’une nouvelle reine de remplacement, issue d’un élevage d’urgence, commence à pondre. Il y aura donc une période de 22–30 jours pendant laquelle les varroas ne pourront pas entrer dans une cellule pour se reproduire, débutant 8 jours après le retrait de la reine. Voir les instructions immédiatement à droite pour savoir comment insérer une rupture de couvain dans cette simulation. Toutes les autres options de traitement peuvent encore être utilisées.</x:v>
      </x:c>
    </x:row>
    <x:row r="563" ht="18" customHeight="1">
      <x:c r="A563" s="498"/>
      <x:c r="B563" s="498"/>
      <x:c r="C563" s="498"/>
      <x:c r="D563" s="498"/>
      <x:c r="E563" s="498"/>
      <x:c r="F563" s="498"/>
      <x:c r="G563" s="498"/>
      <x:c r="H563" s="498"/>
      <x:c r="I563" s="498"/>
      <x:c r="J563" s="498"/>
      <x:c r="K563" s="498"/>
      <x:c r="L563" s="498"/>
      <x:c r="M563" s="498"/>
    </x:row>
    <x:row r="564" ht="18" customHeight="1">
      <x:c r="A564" s="498"/>
      <x:c r="B564" s="529" t="str">
        <x:v>Explication de Randy Oliver · AF3</x:v>
      </x:c>
      <x:c r="C564" s="529" t="str">
        <x:v>Explication de Randy Oliver · AF3</x:v>
      </x:c>
      <x:c r="D564" s="529" t="str">
        <x:v>Explication de Randy Oliver · AF3</x:v>
      </x:c>
      <x:c r="E564" s="529" t="str">
        <x:v>Explication de Randy Oliver · AF3</x:v>
      </x:c>
      <x:c r="F564" s="529" t="str">
        <x:v>Explication de Randy Oliver · AF3</x:v>
      </x:c>
      <x:c r="G564" s="529" t="str">
        <x:v>Explication de Randy Oliver · AF3</x:v>
      </x:c>
      <x:c r="H564" s="529" t="str">
        <x:v>Explication de Randy Oliver · AF3</x:v>
      </x:c>
      <x:c r="I564" s="529" t="str">
        <x:v>Explication de Randy Oliver · AF3</x:v>
      </x:c>
      <x:c r="J564" s="529" t="str">
        <x:v>Explication de Randy Oliver · AF3</x:v>
      </x:c>
      <x:c r="K564" s="529" t="str">
        <x:v>Explication de Randy Oliver · AF3</x:v>
      </x:c>
      <x:c r="L564" s="529" t="str">
        <x:v>Explication de Randy Oliver · AF3</x:v>
      </x:c>
      <x:c r="M564" s="529" t="str">
        <x:v>Explication de Randy Oliver · AF3</x:v>
      </x:c>
    </x:row>
    <x:row r="565" ht="56.400001525878906" customHeight="1">
      <x:c r="A565" s="498"/>
      <x:c r="B565" s="508" t="str">
        <x:v>Merci à l’apiculteur Rick pour cette idée. Nous pouvons estimer approximativement l’effet sur l’infestation par les varroas en ramenant leur reproduction à zéro pendant les deux périodes de 15 jours qui suivent le retrait de la reine.</x:v>
      </x:c>
      <x:c r="C565" s="508" t="str">
        <x:v>Merci à l’apiculteur Rick pour cette idée. Nous pouvons estimer approximativement l’effet sur l’infestation par les varroas en ramenant leur reproduction à zéro pendant les deux périodes de 15 jours qui suivent le retrait de la reine.</x:v>
      </x:c>
      <x:c r="D565" s="508" t="str">
        <x:v>Merci à l’apiculteur Rick pour cette idée. Nous pouvons estimer approximativement l’effet sur l’infestation par les varroas en ramenant leur reproduction à zéro pendant les deux périodes de 15 jours qui suivent le retrait de la reine.</x:v>
      </x:c>
      <x:c r="E565" s="508" t="str">
        <x:v>Merci à l’apiculteur Rick pour cette idée. Nous pouvons estimer approximativement l’effet sur l’infestation par les varroas en ramenant leur reproduction à zéro pendant les deux périodes de 15 jours qui suivent le retrait de la reine.</x:v>
      </x:c>
      <x:c r="F565" s="508" t="str">
        <x:v>Merci à l’apiculteur Rick pour cette idée. Nous pouvons estimer approximativement l’effet sur l’infestation par les varroas en ramenant leur reproduction à zéro pendant les deux périodes de 15 jours qui suivent le retrait de la reine.</x:v>
      </x:c>
      <x:c r="G565" s="508" t="str">
        <x:v>Merci à l’apiculteur Rick pour cette idée. Nous pouvons estimer approximativement l’effet sur l’infestation par les varroas en ramenant leur reproduction à zéro pendant les deux périodes de 15 jours qui suivent le retrait de la reine.</x:v>
      </x:c>
      <x:c r="H565" s="508" t="str">
        <x:v>Merci à l’apiculteur Rick pour cette idée. Nous pouvons estimer approximativement l’effet sur l’infestation par les varroas en ramenant leur reproduction à zéro pendant les deux périodes de 15 jours qui suivent le retrait de la reine.</x:v>
      </x:c>
      <x:c r="I565" s="508" t="str">
        <x:v>Merci à l’apiculteur Rick pour cette idée. Nous pouvons estimer approximativement l’effet sur l’infestation par les varroas en ramenant leur reproduction à zéro pendant les deux périodes de 15 jours qui suivent le retrait de la reine.</x:v>
      </x:c>
      <x:c r="J565" s="508" t="str">
        <x:v>Merci à l’apiculteur Rick pour cette idée. Nous pouvons estimer approximativement l’effet sur l’infestation par les varroas en ramenant leur reproduction à zéro pendant les deux périodes de 15 jours qui suivent le retrait de la reine.</x:v>
      </x:c>
      <x:c r="K565" s="508" t="str">
        <x:v>Merci à l’apiculteur Rick pour cette idée. Nous pouvons estimer approximativement l’effet sur l’infestation par les varroas en ramenant leur reproduction à zéro pendant les deux périodes de 15 jours qui suivent le retrait de la reine.</x:v>
      </x:c>
      <x:c r="L565" s="508" t="str">
        <x:v>Merci à l’apiculteur Rick pour cette idée. Nous pouvons estimer approximativement l’effet sur l’infestation par les varroas en ramenant leur reproduction à zéro pendant les deux périodes de 15 jours qui suivent le retrait de la reine.</x:v>
      </x:c>
      <x:c r="M565" s="508" t="str">
        <x:v>Merci à l’apiculteur Rick pour cette idée. Nous pouvons estimer approximativement l’effet sur l’infestation par les varroas en ramenant leur reproduction à zéro pendant les deux périodes de 15 jours qui suivent le retrait de la reine.</x:v>
      </x:c>
    </x:row>
    <x:row r="566" ht="31" customHeight="1">
      <x:c r="A566" s="498"/>
      <x:c r="B566" s="508" t="str">
        <x:v>Voici comment insérer une rupture de couvain dans la simulation :</x:v>
      </x:c>
      <x:c r="C566" s="508" t="str">
        <x:v>Voici comment insérer une rupture de couvain dans la simulation :</x:v>
      </x:c>
      <x:c r="D566" s="508" t="str">
        <x:v>Voici comment insérer une rupture de couvain dans la simulation :</x:v>
      </x:c>
      <x:c r="E566" s="508" t="str">
        <x:v>Voici comment insérer une rupture de couvain dans la simulation :</x:v>
      </x:c>
      <x:c r="F566" s="508" t="str">
        <x:v>Voici comment insérer une rupture de couvain dans la simulation :</x:v>
      </x:c>
      <x:c r="G566" s="508" t="str">
        <x:v>Voici comment insérer une rupture de couvain dans la simulation :</x:v>
      </x:c>
      <x:c r="H566" s="508" t="str">
        <x:v>Voici comment insérer une rupture de couvain dans la simulation :</x:v>
      </x:c>
      <x:c r="I566" s="508" t="str">
        <x:v>Voici comment insérer une rupture de couvain dans la simulation :</x:v>
      </x:c>
      <x:c r="J566" s="508" t="str">
        <x:v>Voici comment insérer une rupture de couvain dans la simulation :</x:v>
      </x:c>
      <x:c r="K566" s="508" t="str">
        <x:v>Voici comment insérer une rupture de couvain dans la simulation :</x:v>
      </x:c>
      <x:c r="L566" s="508" t="str">
        <x:v>Voici comment insérer une rupture de couvain dans la simulation :</x:v>
      </x:c>
      <x:c r="M566" s="508" t="str">
        <x:v>Voici comment insérer une rupture de couvain dans la simulation :</x:v>
      </x:c>
    </x:row>
    <x:row r="567" ht="31" customHeight="1">
      <x:c r="A567" s="498"/>
      <x:c r="B567" s="508" t="str">
        <x:v>Aller à la colonne AD, immédiatement à gauche.</x:v>
      </x:c>
      <x:c r="C567" s="508" t="str">
        <x:v>Aller à la colonne AD, immédiatement à gauche.</x:v>
      </x:c>
      <x:c r="D567" s="508" t="str">
        <x:v>Aller à la colonne AD, immédiatement à gauche.</x:v>
      </x:c>
      <x:c r="E567" s="508" t="str">
        <x:v>Aller à la colonne AD, immédiatement à gauche.</x:v>
      </x:c>
      <x:c r="F567" s="508" t="str">
        <x:v>Aller à la colonne AD, immédiatement à gauche.</x:v>
      </x:c>
      <x:c r="G567" s="508" t="str">
        <x:v>Aller à la colonne AD, immédiatement à gauche.</x:v>
      </x:c>
      <x:c r="H567" s="508" t="str">
        <x:v>Aller à la colonne AD, immédiatement à gauche.</x:v>
      </x:c>
      <x:c r="I567" s="508" t="str">
        <x:v>Aller à la colonne AD, immédiatement à gauche.</x:v>
      </x:c>
      <x:c r="J567" s="508" t="str">
        <x:v>Aller à la colonne AD, immédiatement à gauche.</x:v>
      </x:c>
      <x:c r="K567" s="508" t="str">
        <x:v>Aller à la colonne AD, immédiatement à gauche.</x:v>
      </x:c>
      <x:c r="L567" s="508" t="str">
        <x:v>Aller à la colonne AD, immédiatement à gauche.</x:v>
      </x:c>
      <x:c r="M567" s="508" t="str">
        <x:v>Aller à la colonne AD, immédiatement à gauche.</x:v>
      </x:c>
    </x:row>
    <x:row r="568" ht="41.599998474121094" customHeight="1">
      <x:c r="A568" s="498"/>
      <x:c r="B568" s="508" t="str">
        <x:v>Saisissez « B » dans les deux cellules correspondant le mieux à la période pendant laquelle la colonie est sans reine en ponte.</x:v>
      </x:c>
      <x:c r="C568" s="508" t="str">
        <x:v>Saisissez « B » dans les deux cellules correspondant le mieux à la période pendant laquelle la colonie est sans reine en ponte.</x:v>
      </x:c>
      <x:c r="D568" s="508" t="str">
        <x:v>Saisissez « B » dans les deux cellules correspondant le mieux à la période pendant laquelle la colonie est sans reine en ponte.</x:v>
      </x:c>
      <x:c r="E568" s="508" t="str">
        <x:v>Saisissez « B » dans les deux cellules correspondant le mieux à la période pendant laquelle la colonie est sans reine en ponte.</x:v>
      </x:c>
      <x:c r="F568" s="508" t="str">
        <x:v>Saisissez « B » dans les deux cellules correspondant le mieux à la période pendant laquelle la colonie est sans reine en ponte.</x:v>
      </x:c>
      <x:c r="G568" s="508" t="str">
        <x:v>Saisissez « B » dans les deux cellules correspondant le mieux à la période pendant laquelle la colonie est sans reine en ponte.</x:v>
      </x:c>
      <x:c r="H568" s="508" t="str">
        <x:v>Saisissez « B » dans les deux cellules correspondant le mieux à la période pendant laquelle la colonie est sans reine en ponte.</x:v>
      </x:c>
      <x:c r="I568" s="508" t="str">
        <x:v>Saisissez « B » dans les deux cellules correspondant le mieux à la période pendant laquelle la colonie est sans reine en ponte.</x:v>
      </x:c>
      <x:c r="J568" s="508" t="str">
        <x:v>Saisissez « B » dans les deux cellules correspondant le mieux à la période pendant laquelle la colonie est sans reine en ponte.</x:v>
      </x:c>
      <x:c r="K568" s="508" t="str">
        <x:v>Saisissez « B » dans les deux cellules correspondant le mieux à la période pendant laquelle la colonie est sans reine en ponte.</x:v>
      </x:c>
      <x:c r="L568" s="508" t="str">
        <x:v>Saisissez « B » dans les deux cellules correspondant le mieux à la période pendant laquelle la colonie est sans reine en ponte.</x:v>
      </x:c>
      <x:c r="M568" s="508" t="str">
        <x:v>Saisissez « B » dans les deux cellules correspondant le mieux à la période pendant laquelle la colonie est sans reine en ponte.</x:v>
      </x:c>
    </x:row>
    <x:row r="569" ht="41.599998474121094" customHeight="1">
      <x:c r="A569" s="498"/>
      <x:c r="B569" s="508" t="str">
        <x:v>Les ruptures de couvain apparaîtront sous forme de triangles verts, mais ne seront pas visibles dans le graphique de quantité de couvain !</x:v>
      </x:c>
      <x:c r="C569" s="508" t="str">
        <x:v>Les ruptures de couvain apparaîtront sous forme de triangles verts, mais ne seront pas visibles dans le graphique de quantité de couvain !</x:v>
      </x:c>
      <x:c r="D569" s="508" t="str">
        <x:v>Les ruptures de couvain apparaîtront sous forme de triangles verts, mais ne seront pas visibles dans le graphique de quantité de couvain !</x:v>
      </x:c>
      <x:c r="E569" s="508" t="str">
        <x:v>Les ruptures de couvain apparaîtront sous forme de triangles verts, mais ne seront pas visibles dans le graphique de quantité de couvain !</x:v>
      </x:c>
      <x:c r="F569" s="508" t="str">
        <x:v>Les ruptures de couvain apparaîtront sous forme de triangles verts, mais ne seront pas visibles dans le graphique de quantité de couvain !</x:v>
      </x:c>
      <x:c r="G569" s="508" t="str">
        <x:v>Les ruptures de couvain apparaîtront sous forme de triangles verts, mais ne seront pas visibles dans le graphique de quantité de couvain !</x:v>
      </x:c>
      <x:c r="H569" s="508" t="str">
        <x:v>Les ruptures de couvain apparaîtront sous forme de triangles verts, mais ne seront pas visibles dans le graphique de quantité de couvain !</x:v>
      </x:c>
      <x:c r="I569" s="508" t="str">
        <x:v>Les ruptures de couvain apparaîtront sous forme de triangles verts, mais ne seront pas visibles dans le graphique de quantité de couvain !</x:v>
      </x:c>
      <x:c r="J569" s="508" t="str">
        <x:v>Les ruptures de couvain apparaîtront sous forme de triangles verts, mais ne seront pas visibles dans le graphique de quantité de couvain !</x:v>
      </x:c>
      <x:c r="K569" s="508" t="str">
        <x:v>Les ruptures de couvain apparaîtront sous forme de triangles verts, mais ne seront pas visibles dans le graphique de quantité de couvain !</x:v>
      </x:c>
      <x:c r="L569" s="508" t="str">
        <x:v>Les ruptures de couvain apparaîtront sous forme de triangles verts, mais ne seront pas visibles dans le graphique de quantité de couvain !</x:v>
      </x:c>
      <x:c r="M569" s="508" t="str">
        <x:v>Les ruptures de couvain apparaîtront sous forme de triangles verts, mais ne seront pas visibles dans le graphique de quantité de couvain !</x:v>
      </x:c>
    </x:row>
    <x:row r="570" ht="41.599998474121094" customHeight="1">
      <x:c r="A570" s="498"/>
      <x:c r="B570" s="508" t="str">
        <x:v>Là encore, cela ne fournit qu’une estimation approximative de l’effet. Vous pouvez saisir d’autres traitements dans les cellules jaunes de la ligne 20.</x:v>
      </x:c>
      <x:c r="C570" s="508" t="str">
        <x:v>Là encore, cela ne fournit qu’une estimation approximative de l’effet. Vous pouvez saisir d’autres traitements dans les cellules jaunes de la ligne 20.</x:v>
      </x:c>
      <x:c r="D570" s="508" t="str">
        <x:v>Là encore, cela ne fournit qu’une estimation approximative de l’effet. Vous pouvez saisir d’autres traitements dans les cellules jaunes de la ligne 20.</x:v>
      </x:c>
      <x:c r="E570" s="508" t="str">
        <x:v>Là encore, cela ne fournit qu’une estimation approximative de l’effet. Vous pouvez saisir d’autres traitements dans les cellules jaunes de la ligne 20.</x:v>
      </x:c>
      <x:c r="F570" s="508" t="str">
        <x:v>Là encore, cela ne fournit qu’une estimation approximative de l’effet. Vous pouvez saisir d’autres traitements dans les cellules jaunes de la ligne 20.</x:v>
      </x:c>
      <x:c r="G570" s="508" t="str">
        <x:v>Là encore, cela ne fournit qu’une estimation approximative de l’effet. Vous pouvez saisir d’autres traitements dans les cellules jaunes de la ligne 20.</x:v>
      </x:c>
      <x:c r="H570" s="508" t="str">
        <x:v>Là encore, cela ne fournit qu’une estimation approximative de l’effet. Vous pouvez saisir d’autres traitements dans les cellules jaunes de la ligne 20.</x:v>
      </x:c>
      <x:c r="I570" s="508" t="str">
        <x:v>Là encore, cela ne fournit qu’une estimation approximative de l’effet. Vous pouvez saisir d’autres traitements dans les cellules jaunes de la ligne 20.</x:v>
      </x:c>
      <x:c r="J570" s="508" t="str">
        <x:v>Là encore, cela ne fournit qu’une estimation approximative de l’effet. Vous pouvez saisir d’autres traitements dans les cellules jaunes de la ligne 20.</x:v>
      </x:c>
      <x:c r="K570" s="508" t="str">
        <x:v>Là encore, cela ne fournit qu’une estimation approximative de l’effet. Vous pouvez saisir d’autres traitements dans les cellules jaunes de la ligne 20.</x:v>
      </x:c>
      <x:c r="L570" s="508" t="str">
        <x:v>Là encore, cela ne fournit qu’une estimation approximative de l’effet. Vous pouvez saisir d’autres traitements dans les cellules jaunes de la ligne 20.</x:v>
      </x:c>
      <x:c r="M570" s="508" t="str">
        <x:v>Là encore, cela ne fournit qu’une estimation approximative de l’effet. Vous pouvez saisir d’autres traitements dans les cellules jaunes de la ligne 20.</x:v>
      </x:c>
    </x:row>
    <x:row r="571" ht="56.400001525878906" customHeight="1">
      <x:c r="A571" s="498"/>
      <x:c r="B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C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D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E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F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G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H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I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J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K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L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c r="M571" s="508" t="str">
        <x:v>Remarque : un dégouttement d’acide oxalique appliqué 21 jours après le retrait de la reine peut alors être utilisé pour éliminer la plupart des varroas restant dans la ruche, avant que le couvain de la nouvelle reine soit assez âgé pour permettre aux varroas de recommencer à se reproduire.</x:v>
      </x:c>
    </x:row>
    <x:row r="572" ht="56.400001525878906" customHeight="1">
      <x:c r="A572" s="498"/>
      <x:c r="B572" s="508" t="str">
        <x:v>Une rupture de couvain pendant le développement printanier peut fortement réduire le taux d’infestation par le varroa pour le reste de l’année, mais au prix d’un ralentissement important du développement de la colonie.</x:v>
      </x:c>
      <x:c r="C572" s="508" t="str">
        <x:v>Une rupture de couvain pendant le développement printanier peut fortement réduire le taux d’infestation par le varroa pour le reste de l’année, mais au prix d’un ralentissement important du développement de la colonie.</x:v>
      </x:c>
      <x:c r="D572" s="508" t="str">
        <x:v>Une rupture de couvain pendant le développement printanier peut fortement réduire le taux d’infestation par le varroa pour le reste de l’année, mais au prix d’un ralentissement important du développement de la colonie.</x:v>
      </x:c>
      <x:c r="E572" s="508" t="str">
        <x:v>Une rupture de couvain pendant le développement printanier peut fortement réduire le taux d’infestation par le varroa pour le reste de l’année, mais au prix d’un ralentissement important du développement de la colonie.</x:v>
      </x:c>
      <x:c r="F572" s="508" t="str">
        <x:v>Une rupture de couvain pendant le développement printanier peut fortement réduire le taux d’infestation par le varroa pour le reste de l’année, mais au prix d’un ralentissement important du développement de la colonie.</x:v>
      </x:c>
      <x:c r="G572" s="508" t="str">
        <x:v>Une rupture de couvain pendant le développement printanier peut fortement réduire le taux d’infestation par le varroa pour le reste de l’année, mais au prix d’un ralentissement important du développement de la colonie.</x:v>
      </x:c>
      <x:c r="H572" s="508" t="str">
        <x:v>Une rupture de couvain pendant le développement printanier peut fortement réduire le taux d’infestation par le varroa pour le reste de l’année, mais au prix d’un ralentissement important du développement de la colonie.</x:v>
      </x:c>
      <x:c r="I572" s="508" t="str">
        <x:v>Une rupture de couvain pendant le développement printanier peut fortement réduire le taux d’infestation par le varroa pour le reste de l’année, mais au prix d’un ralentissement important du développement de la colonie.</x:v>
      </x:c>
      <x:c r="J572" s="508" t="str">
        <x:v>Une rupture de couvain pendant le développement printanier peut fortement réduire le taux d’infestation par le varroa pour le reste de l’année, mais au prix d’un ralentissement important du développement de la colonie.</x:v>
      </x:c>
      <x:c r="K572" s="508" t="str">
        <x:v>Une rupture de couvain pendant le développement printanier peut fortement réduire le taux d’infestation par le varroa pour le reste de l’année, mais au prix d’un ralentissement important du développement de la colonie.</x:v>
      </x:c>
      <x:c r="L572" s="508" t="str">
        <x:v>Une rupture de couvain pendant le développement printanier peut fortement réduire le taux d’infestation par le varroa pour le reste de l’année, mais au prix d’un ralentissement important du développement de la colonie.</x:v>
      </x:c>
      <x:c r="M572" s="508" t="str">
        <x:v>Une rupture de couvain pendant le développement printanier peut fortement réduire le taux d’infestation par le varroa pour le reste de l’année, mais au prix d’un ralentissement important du développement de la colonie.</x:v>
      </x:c>
    </x:row>
    <x:row r="573" ht="18" customHeight="1">
      <x:c r="A573" s="498"/>
      <x:c r="B573" s="498"/>
      <x:c r="C573" s="498"/>
      <x:c r="D573" s="498"/>
      <x:c r="E573" s="498"/>
      <x:c r="F573" s="498"/>
      <x:c r="G573" s="498"/>
      <x:c r="H573" s="498"/>
      <x:c r="I573" s="498"/>
      <x:c r="J573" s="498"/>
      <x:c r="K573" s="498"/>
      <x:c r="L573" s="498"/>
      <x:c r="M573" s="498"/>
    </x:row>
    <x:row r="574" ht="18" customHeight="1">
      <x:c r="A574" s="498"/>
      <x:c r="B574" s="529" t="str">
        <x:v>Explication de Randy Oliver · N34</x:v>
      </x:c>
      <x:c r="C574" s="529" t="str">
        <x:v>Explication de Randy Oliver · N34</x:v>
      </x:c>
      <x:c r="D574" s="529" t="str">
        <x:v>Explication de Randy Oliver · N34</x:v>
      </x:c>
      <x:c r="E574" s="529" t="str">
        <x:v>Explication de Randy Oliver · N34</x:v>
      </x:c>
      <x:c r="F574" s="529" t="str">
        <x:v>Explication de Randy Oliver · N34</x:v>
      </x:c>
      <x:c r="G574" s="529" t="str">
        <x:v>Explication de Randy Oliver · N34</x:v>
      </x:c>
      <x:c r="H574" s="529" t="str">
        <x:v>Explication de Randy Oliver · N34</x:v>
      </x:c>
      <x:c r="I574" s="529" t="str">
        <x:v>Explication de Randy Oliver · N34</x:v>
      </x:c>
      <x:c r="J574" s="529" t="str">
        <x:v>Explication de Randy Oliver · N34</x:v>
      </x:c>
      <x:c r="K574" s="529" t="str">
        <x:v>Explication de Randy Oliver · N34</x:v>
      </x:c>
      <x:c r="L574" s="529" t="str">
        <x:v>Explication de Randy Oliver · N34</x:v>
      </x:c>
      <x:c r="M574" s="529" t="str">
        <x:v>Explication de Randy Oliver · N34</x:v>
      </x:c>
    </x:row>
    <x:row r="575" ht="31" customHeight="1">
      <x:c r="A575" s="498"/>
      <x:c r="B575" s="508" t="str">
        <x:v>Réductions attendues des varroas selon l’option de traitement :</x:v>
      </x:c>
      <x:c r="C575" s="508" t="str">
        <x:v>Réductions attendues des varroas selon l’option de traitement :</x:v>
      </x:c>
      <x:c r="D575" s="508" t="str">
        <x:v>Réductions attendues des varroas selon l’option de traitement :</x:v>
      </x:c>
      <x:c r="E575" s="508" t="str">
        <x:v>Réductions attendues des varroas selon l’option de traitement :</x:v>
      </x:c>
      <x:c r="F575" s="508" t="str">
        <x:v>Réductions attendues des varroas selon l’option de traitement :</x:v>
      </x:c>
      <x:c r="G575" s="508" t="str">
        <x:v>Réductions attendues des varroas selon l’option de traitement :</x:v>
      </x:c>
      <x:c r="H575" s="508" t="str">
        <x:v>Réductions attendues des varroas selon l’option de traitement :</x:v>
      </x:c>
      <x:c r="I575" s="508" t="str">
        <x:v>Réductions attendues des varroas selon l’option de traitement :</x:v>
      </x:c>
      <x:c r="J575" s="508" t="str">
        <x:v>Réductions attendues des varroas selon l’option de traitement :</x:v>
      </x:c>
      <x:c r="K575" s="508" t="str">
        <x:v>Réductions attendues des varroas selon l’option de traitement :</x:v>
      </x:c>
      <x:c r="L575" s="508" t="str">
        <x:v>Réductions attendues des varroas selon l’option de traitement :</x:v>
      </x:c>
      <x:c r="M575" s="508" t="str">
        <x:v>Réductions attendues des varroas selon l’option de traitement :</x:v>
      </x:c>
    </x:row>
    <x:row r="576" ht="41.599998474121094" customHeight="1">
      <x:c r="A576" s="498"/>
      <x:c r="B576" s="508" t="str">
        <x:v>95 % : acaricide de synthèse très efficace, tel que l’amitraz, appliqué sur plusieurs semaines. Son action n’est pas rapide ; il vaut donc mieux l’appliquer de façon anticipée, tôt dans la saison.</x:v>
      </x:c>
      <x:c r="C576" s="508" t="str">
        <x:v>95 % : acaricide de synthèse très efficace, tel que l’amitraz, appliqué sur plusieurs semaines. Son action n’est pas rapide ; il vaut donc mieux l’appliquer de façon anticipée, tôt dans la saison.</x:v>
      </x:c>
      <x:c r="D576" s="508" t="str">
        <x:v>95 % : acaricide de synthèse très efficace, tel que l’amitraz, appliqué sur plusieurs semaines. Son action n’est pas rapide ; il vaut donc mieux l’appliquer de façon anticipée, tôt dans la saison.</x:v>
      </x:c>
      <x:c r="E576" s="508" t="str">
        <x:v>95 % : acaricide de synthèse très efficace, tel que l’amitraz, appliqué sur plusieurs semaines. Son action n’est pas rapide ; il vaut donc mieux l’appliquer de façon anticipée, tôt dans la saison.</x:v>
      </x:c>
      <x:c r="F576" s="508" t="str">
        <x:v>95 % : acaricide de synthèse très efficace, tel que l’amitraz, appliqué sur plusieurs semaines. Son action n’est pas rapide ; il vaut donc mieux l’appliquer de façon anticipée, tôt dans la saison.</x:v>
      </x:c>
      <x:c r="G576" s="508" t="str">
        <x:v>95 % : acaricide de synthèse très efficace, tel que l’amitraz, appliqué sur plusieurs semaines. Son action n’est pas rapide ; il vaut donc mieux l’appliquer de façon anticipée, tôt dans la saison.</x:v>
      </x:c>
      <x:c r="H576" s="508" t="str">
        <x:v>95 % : acaricide de synthèse très efficace, tel que l’amitraz, appliqué sur plusieurs semaines. Son action n’est pas rapide ; il vaut donc mieux l’appliquer de façon anticipée, tôt dans la saison.</x:v>
      </x:c>
      <x:c r="I576" s="508" t="str">
        <x:v>95 % : acaricide de synthèse très efficace, tel que l’amitraz, appliqué sur plusieurs semaines. Son action n’est pas rapide ; il vaut donc mieux l’appliquer de façon anticipée, tôt dans la saison.</x:v>
      </x:c>
      <x:c r="J576" s="508" t="str">
        <x:v>95 % : acaricide de synthèse très efficace, tel que l’amitraz, appliqué sur plusieurs semaines. Son action n’est pas rapide ; il vaut donc mieux l’appliquer de façon anticipée, tôt dans la saison.</x:v>
      </x:c>
      <x:c r="K576" s="508" t="str">
        <x:v>95 % : acaricide de synthèse très efficace, tel que l’amitraz, appliqué sur plusieurs semaines. Son action n’est pas rapide ; il vaut donc mieux l’appliquer de façon anticipée, tôt dans la saison.</x:v>
      </x:c>
      <x:c r="L576" s="508" t="str">
        <x:v>95 % : acaricide de synthèse très efficace, tel que l’amitraz, appliqué sur plusieurs semaines. Son action n’est pas rapide ; il vaut donc mieux l’appliquer de façon anticipée, tôt dans la saison.</x:v>
      </x:c>
      <x:c r="M576" s="508" t="str">
        <x:v>95 % : acaricide de synthèse très efficace, tel que l’amitraz, appliqué sur plusieurs semaines. Son action n’est pas rapide ; il vaut donc mieux l’appliquer de façon anticipée, tôt dans la saison.</x:v>
      </x:c>
    </x:row>
    <x:row r="577" ht="41.599998474121094" customHeight="1">
      <x:c r="A577" s="498"/>
      <x:c r="B577" s="508" t="str">
        <x:v>90 % : deux traitements de 50 g d’Apiguard à 10 jours d’intervalle, dans une rehausse. À utiliser de préférence en août, car il réduit l’élevage du couvain.</x:v>
      </x:c>
      <x:c r="C577" s="508" t="str">
        <x:v>90 % : deux traitements de 50 g d’Apiguard à 10 jours d’intervalle, dans une rehausse. À utiliser de préférence en août, car il réduit l’élevage du couvain.</x:v>
      </x:c>
      <x:c r="D577" s="508" t="str">
        <x:v>90 % : deux traitements de 50 g d’Apiguard à 10 jours d’intervalle, dans une rehausse. À utiliser de préférence en août, car il réduit l’élevage du couvain.</x:v>
      </x:c>
      <x:c r="E577" s="508" t="str">
        <x:v>90 % : deux traitements de 50 g d’Apiguard à 10 jours d’intervalle, dans une rehausse. À utiliser de préférence en août, car il réduit l’élevage du couvain.</x:v>
      </x:c>
      <x:c r="F577" s="508" t="str">
        <x:v>90 % : deux traitements de 50 g d’Apiguard à 10 jours d’intervalle, dans une rehausse. À utiliser de préférence en août, car il réduit l’élevage du couvain.</x:v>
      </x:c>
      <x:c r="G577" s="508" t="str">
        <x:v>90 % : deux traitements de 50 g d’Apiguard à 10 jours d’intervalle, dans une rehausse. À utiliser de préférence en août, car il réduit l’élevage du couvain.</x:v>
      </x:c>
      <x:c r="H577" s="508" t="str">
        <x:v>90 % : deux traitements de 50 g d’Apiguard à 10 jours d’intervalle, dans une rehausse. À utiliser de préférence en août, car il réduit l’élevage du couvain.</x:v>
      </x:c>
      <x:c r="I577" s="508" t="str">
        <x:v>90 % : deux traitements de 50 g d’Apiguard à 10 jours d’intervalle, dans une rehausse. À utiliser de préférence en août, car il réduit l’élevage du couvain.</x:v>
      </x:c>
      <x:c r="J577" s="508" t="str">
        <x:v>90 % : deux traitements de 50 g d’Apiguard à 10 jours d’intervalle, dans une rehausse. À utiliser de préférence en août, car il réduit l’élevage du couvain.</x:v>
      </x:c>
      <x:c r="K577" s="508" t="str">
        <x:v>90 % : deux traitements de 50 g d’Apiguard à 10 jours d’intervalle, dans une rehausse. À utiliser de préférence en août, car il réduit l’élevage du couvain.</x:v>
      </x:c>
      <x:c r="L577" s="508" t="str">
        <x:v>90 % : deux traitements de 50 g d’Apiguard à 10 jours d’intervalle, dans une rehausse. À utiliser de préférence en août, car il réduit l’élevage du couvain.</x:v>
      </x:c>
      <x:c r="M577" s="508" t="str">
        <x:v>90 % : deux traitements de 50 g d’Apiguard à 10 jours d’intervalle, dans une rehausse. À utiliser de préférence en août, car il réduit l’élevage du couvain.</x:v>
      </x:c>
    </x:row>
    <x:row r="578" ht="56.400001525878906" customHeight="1">
      <x:c r="A578" s="498"/>
      <x:c r="B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C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D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E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F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G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H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I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J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K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L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c r="M578" s="508" t="str">
        <x:v>70–90 % (parfois moins) : 2 bandes MAQS ou Formic Pro, ou un traitement fort à l’acide formique (libération progressive ou traitement flash puissant). Meilleur traitement pour faire chuter rapidement les varroas par temps chaud. Peut être utilisé pendant la miellée.</x:v>
      </x:c>
    </x:row>
    <x:row r="579" ht="41.599998474121094" customHeight="1">
      <x:c r="A579" s="498"/>
      <x:c r="B579" s="508" t="str">
        <x:v>50 % (environ) : 1 bande MAQS ou Formic Pro, ou un traitement unique de faible intensité à l’acide formique pour une réduction rapide. Cette réduction rapide permet de gagner du temps et ménage davantage la reine.</x:v>
      </x:c>
      <x:c r="C579" s="508" t="str">
        <x:v>50 % (environ) : 1 bande MAQS ou Formic Pro, ou un traitement unique de faible intensité à l’acide formique pour une réduction rapide. Cette réduction rapide permet de gagner du temps et ménage davantage la reine.</x:v>
      </x:c>
      <x:c r="D579" s="508" t="str">
        <x:v>50 % (environ) : 1 bande MAQS ou Formic Pro, ou un traitement unique de faible intensité à l’acide formique pour une réduction rapide. Cette réduction rapide permet de gagner du temps et ménage davantage la reine.</x:v>
      </x:c>
      <x:c r="E579" s="508" t="str">
        <x:v>50 % (environ) : 1 bande MAQS ou Formic Pro, ou un traitement unique de faible intensité à l’acide formique pour une réduction rapide. Cette réduction rapide permet de gagner du temps et ménage davantage la reine.</x:v>
      </x:c>
      <x:c r="F579" s="508" t="str">
        <x:v>50 % (environ) : 1 bande MAQS ou Formic Pro, ou un traitement unique de faible intensité à l’acide formique pour une réduction rapide. Cette réduction rapide permet de gagner du temps et ménage davantage la reine.</x:v>
      </x:c>
      <x:c r="G579" s="508" t="str">
        <x:v>50 % (environ) : 1 bande MAQS ou Formic Pro, ou un traitement unique de faible intensité à l’acide formique pour une réduction rapide. Cette réduction rapide permet de gagner du temps et ménage davantage la reine.</x:v>
      </x:c>
      <x:c r="H579" s="508" t="str">
        <x:v>50 % (environ) : 1 bande MAQS ou Formic Pro, ou un traitement unique de faible intensité à l’acide formique pour une réduction rapide. Cette réduction rapide permet de gagner du temps et ménage davantage la reine.</x:v>
      </x:c>
      <x:c r="I579" s="508" t="str">
        <x:v>50 % (environ) : 1 bande MAQS ou Formic Pro, ou un traitement unique de faible intensité à l’acide formique pour une réduction rapide. Cette réduction rapide permet de gagner du temps et ménage davantage la reine.</x:v>
      </x:c>
      <x:c r="J579" s="508" t="str">
        <x:v>50 % (environ) : 1 bande MAQS ou Formic Pro, ou un traitement unique de faible intensité à l’acide formique pour une réduction rapide. Cette réduction rapide permet de gagner du temps et ménage davantage la reine.</x:v>
      </x:c>
      <x:c r="K579" s="508" t="str">
        <x:v>50 % (environ) : 1 bande MAQS ou Formic Pro, ou un traitement unique de faible intensité à l’acide formique pour une réduction rapide. Cette réduction rapide permet de gagner du temps et ménage davantage la reine.</x:v>
      </x:c>
      <x:c r="L579" s="508" t="str">
        <x:v>50 % (environ) : 1 bande MAQS ou Formic Pro, ou un traitement unique de faible intensité à l’acide formique pour une réduction rapide. Cette réduction rapide permet de gagner du temps et ménage davantage la reine.</x:v>
      </x:c>
      <x:c r="M579" s="508" t="str">
        <x:v>50 % (environ) : 1 bande MAQS ou Formic Pro, ou un traitement unique de faible intensité à l’acide formique pour une réduction rapide. Cette réduction rapide permet de gagner du temps et ménage davantage la reine.</x:v>
      </x:c>
    </x:row>
    <x:row r="580" ht="41.599998474121094" customHeight="1">
      <x:c r="A580" s="498"/>
      <x:c r="B580" s="508" t="str">
        <x:v>80–90 % : Hopguard 3 si la colonie est sans couvain ; des applications répétées seraient nécessaires en présence de couvain. Peut être utilisé pendant la miellée.</x:v>
      </x:c>
      <x:c r="C580" s="508" t="str">
        <x:v>80–90 % : Hopguard 3 si la colonie est sans couvain ; des applications répétées seraient nécessaires en présence de couvain. Peut être utilisé pendant la miellée.</x:v>
      </x:c>
      <x:c r="D580" s="508" t="str">
        <x:v>80–90 % : Hopguard 3 si la colonie est sans couvain ; des applications répétées seraient nécessaires en présence de couvain. Peut être utilisé pendant la miellée.</x:v>
      </x:c>
      <x:c r="E580" s="508" t="str">
        <x:v>80–90 % : Hopguard 3 si la colonie est sans couvain ; des applications répétées seraient nécessaires en présence de couvain. Peut être utilisé pendant la miellée.</x:v>
      </x:c>
      <x:c r="F580" s="508" t="str">
        <x:v>80–90 % : Hopguard 3 si la colonie est sans couvain ; des applications répétées seraient nécessaires en présence de couvain. Peut être utilisé pendant la miellée.</x:v>
      </x:c>
      <x:c r="G580" s="508" t="str">
        <x:v>80–90 % : Hopguard 3 si la colonie est sans couvain ; des applications répétées seraient nécessaires en présence de couvain. Peut être utilisé pendant la miellée.</x:v>
      </x:c>
      <x:c r="H580" s="508" t="str">
        <x:v>80–90 % : Hopguard 3 si la colonie est sans couvain ; des applications répétées seraient nécessaires en présence de couvain. Peut être utilisé pendant la miellée.</x:v>
      </x:c>
      <x:c r="I580" s="508" t="str">
        <x:v>80–90 % : Hopguard 3 si la colonie est sans couvain ; des applications répétées seraient nécessaires en présence de couvain. Peut être utilisé pendant la miellée.</x:v>
      </x:c>
      <x:c r="J580" s="508" t="str">
        <x:v>80–90 % : Hopguard 3 si la colonie est sans couvain ; des applications répétées seraient nécessaires en présence de couvain. Peut être utilisé pendant la miellée.</x:v>
      </x:c>
      <x:c r="K580" s="508" t="str">
        <x:v>80–90 % : Hopguard 3 si la colonie est sans couvain ; des applications répétées seraient nécessaires en présence de couvain. Peut être utilisé pendant la miellée.</x:v>
      </x:c>
      <x:c r="L580" s="508" t="str">
        <x:v>80–90 % : Hopguard 3 si la colonie est sans couvain ; des applications répétées seraient nécessaires en présence de couvain. Peut être utilisé pendant la miellée.</x:v>
      </x:c>
      <x:c r="M580" s="508" t="str">
        <x:v>80–90 % : Hopguard 3 si la colonie est sans couvain ; des applications répétées seraient nécessaires en présence de couvain. Peut être utilisé pendant la miellée.</x:v>
      </x:c>
    </x:row>
    <x:row r="581" ht="41.599998474121094" customHeight="1">
      <x:c r="A581" s="498"/>
      <x:c r="B581" s="508" t="str">
        <x:v>25 % : un seul poudrage au sucre glace, en supposant la chute de 50 % des varroas phorétiques. Nécessite des applications répétées et poursuivies dans le temps.</x:v>
      </x:c>
      <x:c r="C581" s="508" t="str">
        <x:v>25 % : un seul poudrage au sucre glace, en supposant la chute de 50 % des varroas phorétiques. Nécessite des applications répétées et poursuivies dans le temps.</x:v>
      </x:c>
      <x:c r="D581" s="508" t="str">
        <x:v>25 % : un seul poudrage au sucre glace, en supposant la chute de 50 % des varroas phorétiques. Nécessite des applications répétées et poursuivies dans le temps.</x:v>
      </x:c>
      <x:c r="E581" s="508" t="str">
        <x:v>25 % : un seul poudrage au sucre glace, en supposant la chute de 50 % des varroas phorétiques. Nécessite des applications répétées et poursuivies dans le temps.</x:v>
      </x:c>
      <x:c r="F581" s="508" t="str">
        <x:v>25 % : un seul poudrage au sucre glace, en supposant la chute de 50 % des varroas phorétiques. Nécessite des applications répétées et poursuivies dans le temps.</x:v>
      </x:c>
      <x:c r="G581" s="508" t="str">
        <x:v>25 % : un seul poudrage au sucre glace, en supposant la chute de 50 % des varroas phorétiques. Nécessite des applications répétées et poursuivies dans le temps.</x:v>
      </x:c>
      <x:c r="H581" s="508" t="str">
        <x:v>25 % : un seul poudrage au sucre glace, en supposant la chute de 50 % des varroas phorétiques. Nécessite des applications répétées et poursuivies dans le temps.</x:v>
      </x:c>
      <x:c r="I581" s="508" t="str">
        <x:v>25 % : un seul poudrage au sucre glace, en supposant la chute de 50 % des varroas phorétiques. Nécessite des applications répétées et poursuivies dans le temps.</x:v>
      </x:c>
      <x:c r="J581" s="508" t="str">
        <x:v>25 % : un seul poudrage au sucre glace, en supposant la chute de 50 % des varroas phorétiques. Nécessite des applications répétées et poursuivies dans le temps.</x:v>
      </x:c>
      <x:c r="K581" s="508" t="str">
        <x:v>25 % : un seul poudrage au sucre glace, en supposant la chute de 50 % des varroas phorétiques. Nécessite des applications répétées et poursuivies dans le temps.</x:v>
      </x:c>
      <x:c r="L581" s="508" t="str">
        <x:v>25 % : un seul poudrage au sucre glace, en supposant la chute de 50 % des varroas phorétiques. Nécessite des applications répétées et poursuivies dans le temps.</x:v>
      </x:c>
      <x:c r="M581" s="508" t="str">
        <x:v>25 % : un seul poudrage au sucre glace, en supposant la chute de 50 % des varroas phorétiques. Nécessite des applications répétées et poursuivies dans le temps.</x:v>
      </x:c>
    </x:row>
    <x:row r="582" ht="41.599998474121094" customHeight="1">
      <x:c r="A582" s="498"/>
      <x:c r="B582" s="508" t="str">
        <x:v>15–20 % : retrait complet du couvain de mâles, réalisé tôt dans la saison, à chaque retrait. Apporte une certaine réduction, mais demande beaucoup de travail.</x:v>
      </x:c>
      <x:c r="C582" s="508" t="str">
        <x:v>15–20 % : retrait complet du couvain de mâles, réalisé tôt dans la saison, à chaque retrait. Apporte une certaine réduction, mais demande beaucoup de travail.</x:v>
      </x:c>
      <x:c r="D582" s="508" t="str">
        <x:v>15–20 % : retrait complet du couvain de mâles, réalisé tôt dans la saison, à chaque retrait. Apporte une certaine réduction, mais demande beaucoup de travail.</x:v>
      </x:c>
      <x:c r="E582" s="508" t="str">
        <x:v>15–20 % : retrait complet du couvain de mâles, réalisé tôt dans la saison, à chaque retrait. Apporte une certaine réduction, mais demande beaucoup de travail.</x:v>
      </x:c>
      <x:c r="F582" s="508" t="str">
        <x:v>15–20 % : retrait complet du couvain de mâles, réalisé tôt dans la saison, à chaque retrait. Apporte une certaine réduction, mais demande beaucoup de travail.</x:v>
      </x:c>
      <x:c r="G582" s="508" t="str">
        <x:v>15–20 % : retrait complet du couvain de mâles, réalisé tôt dans la saison, à chaque retrait. Apporte une certaine réduction, mais demande beaucoup de travail.</x:v>
      </x:c>
      <x:c r="H582" s="508" t="str">
        <x:v>15–20 % : retrait complet du couvain de mâles, réalisé tôt dans la saison, à chaque retrait. Apporte une certaine réduction, mais demande beaucoup de travail.</x:v>
      </x:c>
      <x:c r="I582" s="508" t="str">
        <x:v>15–20 % : retrait complet du couvain de mâles, réalisé tôt dans la saison, à chaque retrait. Apporte une certaine réduction, mais demande beaucoup de travail.</x:v>
      </x:c>
      <x:c r="J582" s="508" t="str">
        <x:v>15–20 % : retrait complet du couvain de mâles, réalisé tôt dans la saison, à chaque retrait. Apporte une certaine réduction, mais demande beaucoup de travail.</x:v>
      </x:c>
      <x:c r="K582" s="508" t="str">
        <x:v>15–20 % : retrait complet du couvain de mâles, réalisé tôt dans la saison, à chaque retrait. Apporte une certaine réduction, mais demande beaucoup de travail.</x:v>
      </x:c>
      <x:c r="L582" s="508" t="str">
        <x:v>15–20 % : retrait complet du couvain de mâles, réalisé tôt dans la saison, à chaque retrait. Apporte une certaine réduction, mais demande beaucoup de travail.</x:v>
      </x:c>
      <x:c r="M582" s="508" t="str">
        <x:v>15–20 % : retrait complet du couvain de mâles, réalisé tôt dans la saison, à chaque retrait. Apporte une certaine réduction, mais demande beaucoup de travail.</x:v>
      </x:c>
    </x:row>
    <x:row r="583" ht="31" customHeight="1">
      <x:c r="A583" s="498"/>
      <x:c r="B583" s="508" t="str">
        <x:v>40–60 % : départ d’un essaim primaire au printemps.</x:v>
      </x:c>
      <x:c r="C583" s="508" t="str">
        <x:v>40–60 % : départ d’un essaim primaire au printemps.</x:v>
      </x:c>
      <x:c r="D583" s="508" t="str">
        <x:v>40–60 % : départ d’un essaim primaire au printemps.</x:v>
      </x:c>
      <x:c r="E583" s="508" t="str">
        <x:v>40–60 % : départ d’un essaim primaire au printemps.</x:v>
      </x:c>
      <x:c r="F583" s="508" t="str">
        <x:v>40–60 % : départ d’un essaim primaire au printemps.</x:v>
      </x:c>
      <x:c r="G583" s="508" t="str">
        <x:v>40–60 % : départ d’un essaim primaire au printemps.</x:v>
      </x:c>
      <x:c r="H583" s="508" t="str">
        <x:v>40–60 % : départ d’un essaim primaire au printemps.</x:v>
      </x:c>
      <x:c r="I583" s="508" t="str">
        <x:v>40–60 % : départ d’un essaim primaire au printemps.</x:v>
      </x:c>
      <x:c r="J583" s="508" t="str">
        <x:v>40–60 % : départ d’un essaim primaire au printemps.</x:v>
      </x:c>
      <x:c r="K583" s="508" t="str">
        <x:v>40–60 % : départ d’un essaim primaire au printemps.</x:v>
      </x:c>
      <x:c r="L583" s="508" t="str">
        <x:v>40–60 % : départ d’un essaim primaire au printemps.</x:v>
      </x:c>
      <x:c r="M583" s="508" t="str">
        <x:v>40–60 % : départ d’un essaim primaire au printemps.</x:v>
      </x:c>
    </x:row>
    <x:row r="584" ht="41.599998474121094" customHeight="1">
      <x:c r="A584" s="498"/>
      <x:c r="B584" s="508" t="str">
        <x:v>80–95 % : dégouttement ou sublimation d’acide oxalique en l’absence de couvain. Excellente réduction lorsque la colonie est sans couvain, à la suite d’une rupture naturelle ou provoquée.</x:v>
      </x:c>
      <x:c r="C584" s="508" t="str">
        <x:v>80–95 % : dégouttement ou sublimation d’acide oxalique en l’absence de couvain. Excellente réduction lorsque la colonie est sans couvain, à la suite d’une rupture naturelle ou provoquée.</x:v>
      </x:c>
      <x:c r="D584" s="508" t="str">
        <x:v>80–95 % : dégouttement ou sublimation d’acide oxalique en l’absence de couvain. Excellente réduction lorsque la colonie est sans couvain, à la suite d’une rupture naturelle ou provoquée.</x:v>
      </x:c>
      <x:c r="E584" s="508" t="str">
        <x:v>80–95 % : dégouttement ou sublimation d’acide oxalique en l’absence de couvain. Excellente réduction lorsque la colonie est sans couvain, à la suite d’une rupture naturelle ou provoquée.</x:v>
      </x:c>
      <x:c r="F584" s="508" t="str">
        <x:v>80–95 % : dégouttement ou sublimation d’acide oxalique en l’absence de couvain. Excellente réduction lorsque la colonie est sans couvain, à la suite d’une rupture naturelle ou provoquée.</x:v>
      </x:c>
      <x:c r="G584" s="508" t="str">
        <x:v>80–95 % : dégouttement ou sublimation d’acide oxalique en l’absence de couvain. Excellente réduction lorsque la colonie est sans couvain, à la suite d’une rupture naturelle ou provoquée.</x:v>
      </x:c>
      <x:c r="H584" s="508" t="str">
        <x:v>80–95 % : dégouttement ou sublimation d’acide oxalique en l’absence de couvain. Excellente réduction lorsque la colonie est sans couvain, à la suite d’une rupture naturelle ou provoquée.</x:v>
      </x:c>
      <x:c r="I584" s="508" t="str">
        <x:v>80–95 % : dégouttement ou sublimation d’acide oxalique en l’absence de couvain. Excellente réduction lorsque la colonie est sans couvain, à la suite d’une rupture naturelle ou provoquée.</x:v>
      </x:c>
      <x:c r="J584" s="508" t="str">
        <x:v>80–95 % : dégouttement ou sublimation d’acide oxalique en l’absence de couvain. Excellente réduction lorsque la colonie est sans couvain, à la suite d’une rupture naturelle ou provoquée.</x:v>
      </x:c>
      <x:c r="K584" s="508" t="str">
        <x:v>80–95 % : dégouttement ou sublimation d’acide oxalique en l’absence de couvain. Excellente réduction lorsque la colonie est sans couvain, à la suite d’une rupture naturelle ou provoquée.</x:v>
      </x:c>
      <x:c r="L584" s="508" t="str">
        <x:v>80–95 % : dégouttement ou sublimation d’acide oxalique en l’absence de couvain. Excellente réduction lorsque la colonie est sans couvain, à la suite d’une rupture naturelle ou provoquée.</x:v>
      </x:c>
      <x:c r="M584" s="508" t="str">
        <x:v>80–95 % : dégouttement ou sublimation d’acide oxalique en l’absence de couvain. Excellente réduction lorsque la colonie est sans couvain, à la suite d’une rupture naturelle ou provoquée.</x:v>
      </x:c>
    </x:row>
    <x:row r="585" ht="56.400001525878906" customHeight="1">
      <x:c r="A585" s="498"/>
      <x:c r="B585" s="508" t="str">
        <x:v>15–45 % : un dégouttement ou une sublimation d’acide oxalique dans une ruche contenant du couvain, proportionnellement au % de varroas phorétiques. Réduction limitée lorsque les colonies contiennent du couvain.</x:v>
      </x:c>
      <x:c r="C585" s="508" t="str">
        <x:v>15–45 % : un dégouttement ou une sublimation d’acide oxalique dans une ruche contenant du couvain, proportionnellement au % de varroas phorétiques. Réduction limitée lorsque les colonies contiennent du couvain.</x:v>
      </x:c>
      <x:c r="D585" s="508" t="str">
        <x:v>15–45 % : un dégouttement ou une sublimation d’acide oxalique dans une ruche contenant du couvain, proportionnellement au % de varroas phorétiques. Réduction limitée lorsque les colonies contiennent du couvain.</x:v>
      </x:c>
      <x:c r="E585" s="508" t="str">
        <x:v>15–45 % : un dégouttement ou une sublimation d’acide oxalique dans une ruche contenant du couvain, proportionnellement au % de varroas phorétiques. Réduction limitée lorsque les colonies contiennent du couvain.</x:v>
      </x:c>
      <x:c r="F585" s="508" t="str">
        <x:v>15–45 % : un dégouttement ou une sublimation d’acide oxalique dans une ruche contenant du couvain, proportionnellement au % de varroas phorétiques. Réduction limitée lorsque les colonies contiennent du couvain.</x:v>
      </x:c>
      <x:c r="G585" s="508" t="str">
        <x:v>15–45 % : un dégouttement ou une sublimation d’acide oxalique dans une ruche contenant du couvain, proportionnellement au % de varroas phorétiques. Réduction limitée lorsque les colonies contiennent du couvain.</x:v>
      </x:c>
      <x:c r="H585" s="508" t="str">
        <x:v>15–45 % : un dégouttement ou une sublimation d’acide oxalique dans une ruche contenant du couvain, proportionnellement au % de varroas phorétiques. Réduction limitée lorsque les colonies contiennent du couvain.</x:v>
      </x:c>
      <x:c r="I585" s="508" t="str">
        <x:v>15–45 % : un dégouttement ou une sublimation d’acide oxalique dans une ruche contenant du couvain, proportionnellement au % de varroas phorétiques. Réduction limitée lorsque les colonies contiennent du couvain.</x:v>
      </x:c>
      <x:c r="J585" s="508" t="str">
        <x:v>15–45 % : un dégouttement ou une sublimation d’acide oxalique dans une ruche contenant du couvain, proportionnellement au % de varroas phorétiques. Réduction limitée lorsque les colonies contiennent du couvain.</x:v>
      </x:c>
      <x:c r="K585" s="508" t="str">
        <x:v>15–45 % : un dégouttement ou une sublimation d’acide oxalique dans une ruche contenant du couvain, proportionnellement au % de varroas phorétiques. Réduction limitée lorsque les colonies contiennent du couvain.</x:v>
      </x:c>
      <x:c r="L585" s="508" t="str">
        <x:v>15–45 % : un dégouttement ou une sublimation d’acide oxalique dans une ruche contenant du couvain, proportionnellement au % de varroas phorétiques. Réduction limitée lorsque les colonies contiennent du couvain.</x:v>
      </x:c>
      <x:c r="M585" s="508" t="str">
        <x:v>15–45 % : un dégouttement ou une sublimation d’acide oxalique dans une ruche contenant du couvain, proportionnellement au % de varroas phorétiques. Réduction limitée lorsque les colonies contiennent du couvain.</x:v>
      </x:c>
    </x:row>
    <x:row r="586" ht="56.400001525878906" customHeight="1">
      <x:c r="A586" s="498"/>
      <x:c r="B586" s="508" t="str">
        <x:v>85 %, 3 fois : serviettes ou éponges à libération prolongée d’acide oxalique et de glycérine ; pour le résultat final à 45 jours, saisissez 85 % pendant trois périodes consécutives à partir du moment de l’application. Pas encore homologué.</x:v>
      </x:c>
      <x:c r="C586" s="508" t="str">
        <x:v>85 %, 3 fois : serviettes ou éponges à libération prolongée d’acide oxalique et de glycérine ; pour le résultat final à 45 jours, saisissez 85 % pendant trois périodes consécutives à partir du moment de l’application. Pas encore homologué.</x:v>
      </x:c>
      <x:c r="D586" s="508" t="str">
        <x:v>85 %, 3 fois : serviettes ou éponges à libération prolongée d’acide oxalique et de glycérine ; pour le résultat final à 45 jours, saisissez 85 % pendant trois périodes consécutives à partir du moment de l’application. Pas encore homologué.</x:v>
      </x:c>
      <x:c r="E586" s="508" t="str">
        <x:v>85 %, 3 fois : serviettes ou éponges à libération prolongée d’acide oxalique et de glycérine ; pour le résultat final à 45 jours, saisissez 85 % pendant trois périodes consécutives à partir du moment de l’application. Pas encore homologué.</x:v>
      </x:c>
      <x:c r="F586" s="508" t="str">
        <x:v>85 %, 3 fois : serviettes ou éponges à libération prolongée d’acide oxalique et de glycérine ; pour le résultat final à 45 jours, saisissez 85 % pendant trois périodes consécutives à partir du moment de l’application. Pas encore homologué.</x:v>
      </x:c>
      <x:c r="G586" s="508" t="str">
        <x:v>85 %, 3 fois : serviettes ou éponges à libération prolongée d’acide oxalique et de glycérine ; pour le résultat final à 45 jours, saisissez 85 % pendant trois périodes consécutives à partir du moment de l’application. Pas encore homologué.</x:v>
      </x:c>
      <x:c r="H586" s="508" t="str">
        <x:v>85 %, 3 fois : serviettes ou éponges à libération prolongée d’acide oxalique et de glycérine ; pour le résultat final à 45 jours, saisissez 85 % pendant trois périodes consécutives à partir du moment de l’application. Pas encore homologué.</x:v>
      </x:c>
      <x:c r="I586" s="508" t="str">
        <x:v>85 %, 3 fois : serviettes ou éponges à libération prolongée d’acide oxalique et de glycérine ; pour le résultat final à 45 jours, saisissez 85 % pendant trois périodes consécutives à partir du moment de l’application. Pas encore homologué.</x:v>
      </x:c>
      <x:c r="J586" s="508" t="str">
        <x:v>85 %, 3 fois : serviettes ou éponges à libération prolongée d’acide oxalique et de glycérine ; pour le résultat final à 45 jours, saisissez 85 % pendant trois périodes consécutives à partir du moment de l’application. Pas encore homologué.</x:v>
      </x:c>
      <x:c r="K586" s="508" t="str">
        <x:v>85 %, 3 fois : serviettes ou éponges à libération prolongée d’acide oxalique et de glycérine ; pour le résultat final à 45 jours, saisissez 85 % pendant trois périodes consécutives à partir du moment de l’application. Pas encore homologué.</x:v>
      </x:c>
      <x:c r="L586" s="508" t="str">
        <x:v>85 %, 3 fois : serviettes ou éponges à libération prolongée d’acide oxalique et de glycérine ; pour le résultat final à 45 jours, saisissez 85 % pendant trois périodes consécutives à partir du moment de l’application. Pas encore homologué.</x:v>
      </x:c>
      <x:c r="M586" s="508" t="str">
        <x:v>85 %, 3 fois : serviettes ou éponges à libération prolongée d’acide oxalique et de glycérine ; pour le résultat final à 45 jours, saisissez 85 % pendant trois périodes consécutives à partir du moment de l’application. Pas encore homologué.</x:v>
      </x:c>
    </x:row>
    <x:row r="587" ht="115.5999984741211" customHeight="1">
      <x:c r="A587" s="498"/>
      <x:c r="B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C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D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E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F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G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H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I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J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K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L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c r="M587" s="508" t="str">
        <x:v>Une rupture de couvain provoquée par le retrait de la reine. Merci à l’apiculteur Rick pour cette idée. Vous pouvez estimer approximativement l’effet du fait d’obliger une colonie à élever une nouvelle reine, puisque les 12 jours pendant lesquels le couvain est operculé sont proches des intervalles de calcul de 15 jours, et que les 22–30 jours généralement nécessaires pour qu’une nouvelle reine commence à pondre sont proches de deux intervalles de 15 jours. Une rupture de couvain pendant le développement printanier peut fortement diminuer le taux d’infestation par le varroa pour le reste de l’année, mais au prix d’un important ralentissement du développement de la colonie.</x:v>
      </x:c>
    </x:row>
    <x:row r="588" ht="115.5999984741211" customHeight="1">
      <x:c r="A588" s="498"/>
      <x:c r="B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C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D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E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F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G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H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I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J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K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L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c r="M588" s="508" t="str">
        <x:v>Voici comment procéder. Copiez la feuille Modèle principal dans un nouvel onglet, afin de ne pas abîmer l’original. Déverrouillez temporairement cette feuille : allez dans Révision et utilisez le mot de passe « sb ». Mettez en surbrillance le numéro de la ligne, tout à gauche, correspondant à la date située une période après le retrait de la reine. Cela permet aux varroas déjà dans le couvain de continuer à se reproduire pendant une période. Allez ensuite dans la colonne DA. Faites défiler jusqu’à la ligne mise en surbrillance et remplacez par zéro la valeur de cette cellule et celle de la cellule située juste en dessous. Cela supprime la reproduction des varroas pendant 30 jours.</x:v>
      </x:c>
    </x:row>
    <x:row r="589" ht="41.599998474121094" customHeight="1">
      <x:c r="A589" s="498"/>
      <x:c r="B589" s="508" t="str">
        <x:v>Le modèle se recalculera alors en tenant compte de la rupture de couvain. Là encore, il s’agira d’une estimation approximative de l’effet.</x:v>
      </x:c>
      <x:c r="C589" s="508" t="str">
        <x:v>Le modèle se recalculera alors en tenant compte de la rupture de couvain. Là encore, il s’agira d’une estimation approximative de l’effet.</x:v>
      </x:c>
      <x:c r="D589" s="508" t="str">
        <x:v>Le modèle se recalculera alors en tenant compte de la rupture de couvain. Là encore, il s’agira d’une estimation approximative de l’effet.</x:v>
      </x:c>
      <x:c r="E589" s="508" t="str">
        <x:v>Le modèle se recalculera alors en tenant compte de la rupture de couvain. Là encore, il s’agira d’une estimation approximative de l’effet.</x:v>
      </x:c>
      <x:c r="F589" s="508" t="str">
        <x:v>Le modèle se recalculera alors en tenant compte de la rupture de couvain. Là encore, il s’agira d’une estimation approximative de l’effet.</x:v>
      </x:c>
      <x:c r="G589" s="508" t="str">
        <x:v>Le modèle se recalculera alors en tenant compte de la rupture de couvain. Là encore, il s’agira d’une estimation approximative de l’effet.</x:v>
      </x:c>
      <x:c r="H589" s="508" t="str">
        <x:v>Le modèle se recalculera alors en tenant compte de la rupture de couvain. Là encore, il s’agira d’une estimation approximative de l’effet.</x:v>
      </x:c>
      <x:c r="I589" s="508" t="str">
        <x:v>Le modèle se recalculera alors en tenant compte de la rupture de couvain. Là encore, il s’agira d’une estimation approximative de l’effet.</x:v>
      </x:c>
      <x:c r="J589" s="508" t="str">
        <x:v>Le modèle se recalculera alors en tenant compte de la rupture de couvain. Là encore, il s’agira d’une estimation approximative de l’effet.</x:v>
      </x:c>
      <x:c r="K589" s="508" t="str">
        <x:v>Le modèle se recalculera alors en tenant compte de la rupture de couvain. Là encore, il s’agira d’une estimation approximative de l’effet.</x:v>
      </x:c>
      <x:c r="L589" s="508" t="str">
        <x:v>Le modèle se recalculera alors en tenant compte de la rupture de couvain. Là encore, il s’agira d’une estimation approximative de l’effet.</x:v>
      </x:c>
      <x:c r="M589" s="508" t="str">
        <x:v>Le modèle se recalculera alors en tenant compte de la rupture de couvain. Là encore, il s’agira d’une estimation approximative de l’effet.</x:v>
      </x:c>
    </x:row>
    <x:row r="590" ht="41.599998474121094" customHeight="1">
      <x:c r="A590" s="498"/>
      <x:c r="B590" s="508" t="str">
        <x:v>Vous pouvez remettre la feuille dans son état normal en recopiant les formules vers le bas à partir de la cellule située au-dessus de la première cellule modifiée. Puis protéger à nouveau la feuille.</x:v>
      </x:c>
      <x:c r="C590" s="508" t="str">
        <x:v>Vous pouvez remettre la feuille dans son état normal en recopiant les formules vers le bas à partir de la cellule située au-dessus de la première cellule modifiée. Puis protéger à nouveau la feuille.</x:v>
      </x:c>
      <x:c r="D590" s="508" t="str">
        <x:v>Vous pouvez remettre la feuille dans son état normal en recopiant les formules vers le bas à partir de la cellule située au-dessus de la première cellule modifiée. Puis protéger à nouveau la feuille.</x:v>
      </x:c>
      <x:c r="E590" s="508" t="str">
        <x:v>Vous pouvez remettre la feuille dans son état normal en recopiant les formules vers le bas à partir de la cellule située au-dessus de la première cellule modifiée. Puis protéger à nouveau la feuille.</x:v>
      </x:c>
      <x:c r="F590" s="508" t="str">
        <x:v>Vous pouvez remettre la feuille dans son état normal en recopiant les formules vers le bas à partir de la cellule située au-dessus de la première cellule modifiée. Puis protéger à nouveau la feuille.</x:v>
      </x:c>
      <x:c r="G590" s="508" t="str">
        <x:v>Vous pouvez remettre la feuille dans son état normal en recopiant les formules vers le bas à partir de la cellule située au-dessus de la première cellule modifiée. Puis protéger à nouveau la feuille.</x:v>
      </x:c>
      <x:c r="H590" s="508" t="str">
        <x:v>Vous pouvez remettre la feuille dans son état normal en recopiant les formules vers le bas à partir de la cellule située au-dessus de la première cellule modifiée. Puis protéger à nouveau la feuille.</x:v>
      </x:c>
      <x:c r="I590" s="508" t="str">
        <x:v>Vous pouvez remettre la feuille dans son état normal en recopiant les formules vers le bas à partir de la cellule située au-dessus de la première cellule modifiée. Puis protéger à nouveau la feuille.</x:v>
      </x:c>
      <x:c r="J590" s="508" t="str">
        <x:v>Vous pouvez remettre la feuille dans son état normal en recopiant les formules vers le bas à partir de la cellule située au-dessus de la première cellule modifiée. Puis protéger à nouveau la feuille.</x:v>
      </x:c>
      <x:c r="K590" s="508" t="str">
        <x:v>Vous pouvez remettre la feuille dans son état normal en recopiant les formules vers le bas à partir de la cellule située au-dessus de la première cellule modifiée. Puis protéger à nouveau la feuille.</x:v>
      </x:c>
      <x:c r="L590" s="508" t="str">
        <x:v>Vous pouvez remettre la feuille dans son état normal en recopiant les formules vers le bas à partir de la cellule située au-dessus de la première cellule modifiée. Puis protéger à nouveau la feuille.</x:v>
      </x:c>
      <x:c r="M590" s="508" t="str">
        <x:v>Vous pouvez remettre la feuille dans son état normal en recopiant les formules vers le bas à partir de la cellule située au-dessus de la première cellule modifiée. Puis protéger à nouveau la feuille.</x:v>
      </x:c>
    </x:row>
    <x:row r="591" ht="18" customHeight="1">
      <x:c r="A591" s="498"/>
      <x:c r="B591" s="498"/>
      <x:c r="C591" s="498"/>
      <x:c r="D591" s="498"/>
      <x:c r="E591" s="498"/>
      <x:c r="F591" s="498"/>
      <x:c r="G591" s="498"/>
      <x:c r="H591" s="498"/>
      <x:c r="I591" s="498"/>
      <x:c r="J591" s="498"/>
      <x:c r="K591" s="498"/>
      <x:c r="L591" s="498"/>
      <x:c r="M591" s="498"/>
    </x:row>
    <x:row r="592" ht="18" customHeight="1">
      <x:c r="A592" s="498"/>
      <x:c r="B592" s="529" t="str">
        <x:v>Texte de la feuille · AG35</x:v>
      </x:c>
      <x:c r="C592" s="529" t="str">
        <x:v>Texte de la feuille · AG35</x:v>
      </x:c>
      <x:c r="D592" s="529" t="str">
        <x:v>Texte de la feuille · AG35</x:v>
      </x:c>
      <x:c r="E592" s="529" t="str">
        <x:v>Texte de la feuille · AG35</x:v>
      </x:c>
      <x:c r="F592" s="529" t="str">
        <x:v>Texte de la feuille · AG35</x:v>
      </x:c>
      <x:c r="G592" s="529" t="str">
        <x:v>Texte de la feuille · AG35</x:v>
      </x:c>
      <x:c r="H592" s="529" t="str">
        <x:v>Texte de la feuille · AG35</x:v>
      </x:c>
      <x:c r="I592" s="529" t="str">
        <x:v>Texte de la feuille · AG35</x:v>
      </x:c>
      <x:c r="J592" s="529" t="str">
        <x:v>Texte de la feuille · AG35</x:v>
      </x:c>
      <x:c r="K592" s="529" t="str">
        <x:v>Texte de la feuille · AG35</x:v>
      </x:c>
      <x:c r="L592" s="529" t="str">
        <x:v>Texte de la feuille · AG35</x:v>
      </x:c>
      <x:c r="M592" s="529" t="str">
        <x:v>Texte de la feuille · AG35</x:v>
      </x:c>
    </x:row>
    <x:row r="593" ht="41.599998474121094" customHeight="1">
      <x:c r="A593" s="498"/>
      <x:c r="B593" s="508" t="str">
        <x:v>Le mot de passe pour déverrouiller une feuille de calcul est « sb ». Je recommande vivement de la reverrouiller immédiatement après toute modification, afin d’éviter les changements involontaires !</x:v>
      </x:c>
      <x:c r="C593" s="508" t="str">
        <x:v>Le mot de passe pour déverrouiller une feuille de calcul est « sb ». Je recommande vivement de la reverrouiller immédiatement après toute modification, afin d’éviter les changements involontaires !</x:v>
      </x:c>
      <x:c r="D593" s="508" t="str">
        <x:v>Le mot de passe pour déverrouiller une feuille de calcul est « sb ». Je recommande vivement de la reverrouiller immédiatement après toute modification, afin d’éviter les changements involontaires !</x:v>
      </x:c>
      <x:c r="E593" s="508" t="str">
        <x:v>Le mot de passe pour déverrouiller une feuille de calcul est « sb ». Je recommande vivement de la reverrouiller immédiatement après toute modification, afin d’éviter les changements involontaires !</x:v>
      </x:c>
      <x:c r="F593" s="508" t="str">
        <x:v>Le mot de passe pour déverrouiller une feuille de calcul est « sb ». Je recommande vivement de la reverrouiller immédiatement après toute modification, afin d’éviter les changements involontaires !</x:v>
      </x:c>
      <x:c r="G593" s="508" t="str">
        <x:v>Le mot de passe pour déverrouiller une feuille de calcul est « sb ». Je recommande vivement de la reverrouiller immédiatement après toute modification, afin d’éviter les changements involontaires !</x:v>
      </x:c>
      <x:c r="H593" s="508" t="str">
        <x:v>Le mot de passe pour déverrouiller une feuille de calcul est « sb ». Je recommande vivement de la reverrouiller immédiatement après toute modification, afin d’éviter les changements involontaires !</x:v>
      </x:c>
      <x:c r="I593" s="508" t="str">
        <x:v>Le mot de passe pour déverrouiller une feuille de calcul est « sb ». Je recommande vivement de la reverrouiller immédiatement après toute modification, afin d’éviter les changements involontaires !</x:v>
      </x:c>
      <x:c r="J593" s="508" t="str">
        <x:v>Le mot de passe pour déverrouiller une feuille de calcul est « sb ». Je recommande vivement de la reverrouiller immédiatement après toute modification, afin d’éviter les changements involontaires !</x:v>
      </x:c>
      <x:c r="K593" s="508" t="str">
        <x:v>Le mot de passe pour déverrouiller une feuille de calcul est « sb ». Je recommande vivement de la reverrouiller immédiatement après toute modification, afin d’éviter les changements involontaires !</x:v>
      </x:c>
      <x:c r="L593" s="508" t="str">
        <x:v>Le mot de passe pour déverrouiller une feuille de calcul est « sb ». Je recommande vivement de la reverrouiller immédiatement après toute modification, afin d’éviter les changements involontaires !</x:v>
      </x:c>
      <x:c r="M593" s="508" t="str">
        <x:v>Le mot de passe pour déverrouiller une feuille de calcul est « sb ». Je recommande vivement de la reverrouiller immédiatement après toute modification, afin d’éviter les changements involontaires !</x:v>
      </x:c>
    </x:row>
    <x:row r="594" ht="18" customHeight="1">
      <x:c r="A594" s="498"/>
      <x:c r="B594" s="498"/>
      <x:c r="C594" s="498"/>
      <x:c r="D594" s="498"/>
      <x:c r="E594" s="498"/>
      <x:c r="F594" s="498"/>
      <x:c r="G594" s="498"/>
      <x:c r="H594" s="498"/>
      <x:c r="I594" s="498"/>
      <x:c r="J594" s="498"/>
      <x:c r="K594" s="498"/>
      <x:c r="L594" s="498"/>
      <x:c r="M594" s="498"/>
    </x:row>
    <x:row r="595" ht="18" customHeight="1">
      <x:c r="A595" s="498"/>
      <x:c r="B595" s="529" t="str">
        <x:v>Texte de la feuille · AG36</x:v>
      </x:c>
      <x:c r="C595" s="529" t="str">
        <x:v>Texte de la feuille · AG36</x:v>
      </x:c>
      <x:c r="D595" s="529" t="str">
        <x:v>Texte de la feuille · AG36</x:v>
      </x:c>
      <x:c r="E595" s="529" t="str">
        <x:v>Texte de la feuille · AG36</x:v>
      </x:c>
      <x:c r="F595" s="529" t="str">
        <x:v>Texte de la feuille · AG36</x:v>
      </x:c>
      <x:c r="G595" s="529" t="str">
        <x:v>Texte de la feuille · AG36</x:v>
      </x:c>
      <x:c r="H595" s="529" t="str">
        <x:v>Texte de la feuille · AG36</x:v>
      </x:c>
      <x:c r="I595" s="529" t="str">
        <x:v>Texte de la feuille · AG36</x:v>
      </x:c>
      <x:c r="J595" s="529" t="str">
        <x:v>Texte de la feuille · AG36</x:v>
      </x:c>
      <x:c r="K595" s="529" t="str">
        <x:v>Texte de la feuille · AG36</x:v>
      </x:c>
      <x:c r="L595" s="529" t="str">
        <x:v>Texte de la feuille · AG36</x:v>
      </x:c>
      <x:c r="M595" s="529" t="str">
        <x:v>Texte de la feuille · AG36</x:v>
      </x:c>
    </x:row>
    <x:row r="596" ht="41.599998474121094" customHeight="1">
      <x:c r="A596" s="498"/>
      <x:c r="B596" s="508" t="str">
        <x:v>Les simulations par défaut correspondent à des abeilles peu résistantes aux varroas ; vous pouvez personnaliser la résistance ci-dessous</x:v>
      </x:c>
      <x:c r="C596" s="508" t="str">
        <x:v>Les simulations par défaut correspondent à des abeilles peu résistantes aux varroas ; vous pouvez personnaliser la résistance ci-dessous</x:v>
      </x:c>
      <x:c r="D596" s="508" t="str">
        <x:v>Les simulations par défaut correspondent à des abeilles peu résistantes aux varroas ; vous pouvez personnaliser la résistance ci-dessous</x:v>
      </x:c>
      <x:c r="E596" s="508" t="str">
        <x:v>Les simulations par défaut correspondent à des abeilles peu résistantes aux varroas ; vous pouvez personnaliser la résistance ci-dessous</x:v>
      </x:c>
      <x:c r="F596" s="508" t="str">
        <x:v>Les simulations par défaut correspondent à des abeilles peu résistantes aux varroas ; vous pouvez personnaliser la résistance ci-dessous</x:v>
      </x:c>
      <x:c r="G596" s="508" t="str">
        <x:v>Les simulations par défaut correspondent à des abeilles peu résistantes aux varroas ; vous pouvez personnaliser la résistance ci-dessous</x:v>
      </x:c>
      <x:c r="H596" s="508" t="str">
        <x:v>Les simulations par défaut correspondent à des abeilles peu résistantes aux varroas ; vous pouvez personnaliser la résistance ci-dessous</x:v>
      </x:c>
      <x:c r="I596" s="508" t="str">
        <x:v>Les simulations par défaut correspondent à des abeilles peu résistantes aux varroas ; vous pouvez personnaliser la résistance ci-dessous</x:v>
      </x:c>
      <x:c r="J596" s="508" t="str">
        <x:v>Les simulations par défaut correspondent à des abeilles peu résistantes aux varroas ; vous pouvez personnaliser la résistance ci-dessous</x:v>
      </x:c>
      <x:c r="K596" s="508" t="str">
        <x:v>Les simulations par défaut correspondent à des abeilles peu résistantes aux varroas ; vous pouvez personnaliser la résistance ci-dessous</x:v>
      </x:c>
      <x:c r="L596" s="508" t="str">
        <x:v>Les simulations par défaut correspondent à des abeilles peu résistantes aux varroas ; vous pouvez personnaliser la résistance ci-dessous</x:v>
      </x:c>
      <x:c r="M596" s="508" t="str">
        <x:v>Les simulations par défaut correspondent à des abeilles peu résistantes aux varroas ; vous pouvez personnaliser la résistance ci-dessous</x:v>
      </x:c>
    </x:row>
    <x:row r="597" ht="18" customHeight="1">
      <x:c r="A597" s="498"/>
      <x:c r="B597" s="498"/>
      <x:c r="C597" s="498"/>
      <x:c r="D597" s="498"/>
      <x:c r="E597" s="498"/>
      <x:c r="F597" s="498"/>
      <x:c r="G597" s="498"/>
      <x:c r="H597" s="498"/>
      <x:c r="I597" s="498"/>
      <x:c r="J597" s="498"/>
      <x:c r="K597" s="498"/>
      <x:c r="L597" s="498"/>
      <x:c r="M597" s="498"/>
    </x:row>
    <x:row r="598" ht="18" customHeight="1">
      <x:c r="A598" s="498"/>
      <x:c r="B598" s="529" t="str">
        <x:v>Texte de la feuille · AI46</x:v>
      </x:c>
      <x:c r="C598" s="529" t="str">
        <x:v>Texte de la feuille · AI46</x:v>
      </x:c>
      <x:c r="D598" s="529" t="str">
        <x:v>Texte de la feuille · AI46</x:v>
      </x:c>
      <x:c r="E598" s="529" t="str">
        <x:v>Texte de la feuille · AI46</x:v>
      </x:c>
      <x:c r="F598" s="529" t="str">
        <x:v>Texte de la feuille · AI46</x:v>
      </x:c>
      <x:c r="G598" s="529" t="str">
        <x:v>Texte de la feuille · AI46</x:v>
      </x:c>
      <x:c r="H598" s="529" t="str">
        <x:v>Texte de la feuille · AI46</x:v>
      </x:c>
      <x:c r="I598" s="529" t="str">
        <x:v>Texte de la feuille · AI46</x:v>
      </x:c>
      <x:c r="J598" s="529" t="str">
        <x:v>Texte de la feuille · AI46</x:v>
      </x:c>
      <x:c r="K598" s="529" t="str">
        <x:v>Texte de la feuille · AI46</x:v>
      </x:c>
      <x:c r="L598" s="529" t="str">
        <x:v>Texte de la feuille · AI46</x:v>
      </x:c>
      <x:c r="M598" s="529" t="str">
        <x:v>Texte de la feuille · AI46</x:v>
      </x:c>
    </x:row>
    <x:row r="599" ht="56.400001525878906" customHeight="1">
      <x:c r="A599" s="498"/>
      <x:c r="B599" s="508" t="str">
        <x:v>Taux d’infestation des abeilles sortantes par rapport à celui des jeunes adultes dans un comptage par lavage à l’alcool, lorsque l’infestation est faible. Ce facteur influence fortement le taux global d’augmentation des varroas !</x:v>
      </x:c>
      <x:c r="C599" s="508" t="str">
        <x:v>Taux d’infestation des abeilles sortantes par rapport à celui des jeunes adultes dans un comptage par lavage à l’alcool, lorsque l’infestation est faible. Ce facteur influence fortement le taux global d’augmentation des varroas !</x:v>
      </x:c>
      <x:c r="D599" s="508" t="str">
        <x:v>Taux d’infestation des abeilles sortantes par rapport à celui des jeunes adultes dans un comptage par lavage à l’alcool, lorsque l’infestation est faible. Ce facteur influence fortement le taux global d’augmentation des varroas !</x:v>
      </x:c>
      <x:c r="E599" s="508" t="str">
        <x:v>Taux d’infestation des abeilles sortantes par rapport à celui des jeunes adultes dans un comptage par lavage à l’alcool, lorsque l’infestation est faible. Ce facteur influence fortement le taux global d’augmentation des varroas !</x:v>
      </x:c>
      <x:c r="F599" s="508" t="str">
        <x:v>Taux d’infestation des abeilles sortantes par rapport à celui des jeunes adultes dans un comptage par lavage à l’alcool, lorsque l’infestation est faible. Ce facteur influence fortement le taux global d’augmentation des varroas !</x:v>
      </x:c>
      <x:c r="G599" s="508" t="str">
        <x:v>Taux d’infestation des abeilles sortantes par rapport à celui des jeunes adultes dans un comptage par lavage à l’alcool, lorsque l’infestation est faible. Ce facteur influence fortement le taux global d’augmentation des varroas !</x:v>
      </x:c>
      <x:c r="H599" s="508" t="str">
        <x:v>Taux d’infestation des abeilles sortantes par rapport à celui des jeunes adultes dans un comptage par lavage à l’alcool, lorsque l’infestation est faible. Ce facteur influence fortement le taux global d’augmentation des varroas !</x:v>
      </x:c>
      <x:c r="I599" s="508" t="str">
        <x:v>Taux d’infestation des abeilles sortantes par rapport à celui des jeunes adultes dans un comptage par lavage à l’alcool, lorsque l’infestation est faible. Ce facteur influence fortement le taux global d’augmentation des varroas !</x:v>
      </x:c>
      <x:c r="J599" s="508" t="str">
        <x:v>Taux d’infestation des abeilles sortantes par rapport à celui des jeunes adultes dans un comptage par lavage à l’alcool, lorsque l’infestation est faible. Ce facteur influence fortement le taux global d’augmentation des varroas !</x:v>
      </x:c>
      <x:c r="K599" s="508" t="str">
        <x:v>Taux d’infestation des abeilles sortantes par rapport à celui des jeunes adultes dans un comptage par lavage à l’alcool, lorsque l’infestation est faible. Ce facteur influence fortement le taux global d’augmentation des varroas !</x:v>
      </x:c>
      <x:c r="L599" s="508" t="str">
        <x:v>Taux d’infestation des abeilles sortantes par rapport à celui des jeunes adultes dans un comptage par lavage à l’alcool, lorsque l’infestation est faible. Ce facteur influence fortement le taux global d’augmentation des varroas !</x:v>
      </x:c>
      <x:c r="M599" s="508" t="str">
        <x:v>Taux d’infestation des abeilles sortantes par rapport à celui des jeunes adultes dans un comptage par lavage à l’alcool, lorsque l’infestation est faible. Ce facteur influence fortement le taux global d’augmentation des varroas !</x:v>
      </x:c>
    </x:row>
    <x:row r="600" ht="18" customHeight="1">
      <x:c r="A600" s="498"/>
      <x:c r="B600" s="498"/>
      <x:c r="C600" s="498"/>
      <x:c r="D600" s="498"/>
      <x:c r="E600" s="498"/>
      <x:c r="F600" s="498"/>
      <x:c r="G600" s="498"/>
      <x:c r="H600" s="498"/>
      <x:c r="I600" s="498"/>
      <x:c r="J600" s="498"/>
      <x:c r="K600" s="498"/>
      <x:c r="L600" s="498"/>
      <x:c r="M600" s="498"/>
    </x:row>
    <x:row r="601" ht="18" customHeight="1">
      <x:c r="A601" s="498"/>
      <x:c r="B601" s="529" t="str">
        <x:v>Texte de la feuille · AI49</x:v>
      </x:c>
      <x:c r="C601" s="529" t="str">
        <x:v>Texte de la feuille · AI49</x:v>
      </x:c>
      <x:c r="D601" s="529" t="str">
        <x:v>Texte de la feuille · AI49</x:v>
      </x:c>
      <x:c r="E601" s="529" t="str">
        <x:v>Texte de la feuille · AI49</x:v>
      </x:c>
      <x:c r="F601" s="529" t="str">
        <x:v>Texte de la feuille · AI49</x:v>
      </x:c>
      <x:c r="G601" s="529" t="str">
        <x:v>Texte de la feuille · AI49</x:v>
      </x:c>
      <x:c r="H601" s="529" t="str">
        <x:v>Texte de la feuille · AI49</x:v>
      </x:c>
      <x:c r="I601" s="529" t="str">
        <x:v>Texte de la feuille · AI49</x:v>
      </x:c>
      <x:c r="J601" s="529" t="str">
        <x:v>Texte de la feuille · AI49</x:v>
      </x:c>
      <x:c r="K601" s="529" t="str">
        <x:v>Texte de la feuille · AI49</x:v>
      </x:c>
      <x:c r="L601" s="529" t="str">
        <x:v>Texte de la feuille · AI49</x:v>
      </x:c>
      <x:c r="M601" s="529" t="str">
        <x:v>Texte de la feuille · AI49</x:v>
      </x:c>
    </x:row>
    <x:row r="602" ht="56.400001525878906" customHeight="1">
      <x:c r="A602" s="498"/>
      <x:c r="B602" s="508" t="str">
        <x:v>Degré d’hygiène sensible au varroa, ou VSH (pourcentage). Ce facteur a un effet important sur le nombre de filles par cycle ! Cette saisie peut sous-estimer l’effet net du VSH, car elle ne tient pas compte de la mortalité accrue des fondatrices.</x:v>
      </x:c>
      <x:c r="C602" s="508" t="str">
        <x:v>Degré d’hygiène sensible au varroa, ou VSH (pourcentage). Ce facteur a un effet important sur le nombre de filles par cycle ! Cette saisie peut sous-estimer l’effet net du VSH, car elle ne tient pas compte de la mortalité accrue des fondatrices.</x:v>
      </x:c>
      <x:c r="D602" s="508" t="str">
        <x:v>Degré d’hygiène sensible au varroa, ou VSH (pourcentage). Ce facteur a un effet important sur le nombre de filles par cycle ! Cette saisie peut sous-estimer l’effet net du VSH, car elle ne tient pas compte de la mortalité accrue des fondatrices.</x:v>
      </x:c>
      <x:c r="E602" s="508" t="str">
        <x:v>Degré d’hygiène sensible au varroa, ou VSH (pourcentage). Ce facteur a un effet important sur le nombre de filles par cycle ! Cette saisie peut sous-estimer l’effet net du VSH, car elle ne tient pas compte de la mortalité accrue des fondatrices.</x:v>
      </x:c>
      <x:c r="F602" s="508" t="str">
        <x:v>Degré d’hygiène sensible au varroa, ou VSH (pourcentage). Ce facteur a un effet important sur le nombre de filles par cycle ! Cette saisie peut sous-estimer l’effet net du VSH, car elle ne tient pas compte de la mortalité accrue des fondatrices.</x:v>
      </x:c>
      <x:c r="G602" s="508" t="str">
        <x:v>Degré d’hygiène sensible au varroa, ou VSH (pourcentage). Ce facteur a un effet important sur le nombre de filles par cycle ! Cette saisie peut sous-estimer l’effet net du VSH, car elle ne tient pas compte de la mortalité accrue des fondatrices.</x:v>
      </x:c>
      <x:c r="H602" s="508" t="str">
        <x:v>Degré d’hygiène sensible au varroa, ou VSH (pourcentage). Ce facteur a un effet important sur le nombre de filles par cycle ! Cette saisie peut sous-estimer l’effet net du VSH, car elle ne tient pas compte de la mortalité accrue des fondatrices.</x:v>
      </x:c>
      <x:c r="I602" s="508" t="str">
        <x:v>Degré d’hygiène sensible au varroa, ou VSH (pourcentage). Ce facteur a un effet important sur le nombre de filles par cycle ! Cette saisie peut sous-estimer l’effet net du VSH, car elle ne tient pas compte de la mortalité accrue des fondatrices.</x:v>
      </x:c>
      <x:c r="J602" s="508" t="str">
        <x:v>Degré d’hygiène sensible au varroa, ou VSH (pourcentage). Ce facteur a un effet important sur le nombre de filles par cycle ! Cette saisie peut sous-estimer l’effet net du VSH, car elle ne tient pas compte de la mortalité accrue des fondatrices.</x:v>
      </x:c>
      <x:c r="K602" s="508" t="str">
        <x:v>Degré d’hygiène sensible au varroa, ou VSH (pourcentage). Ce facteur a un effet important sur le nombre de filles par cycle ! Cette saisie peut sous-estimer l’effet net du VSH, car elle ne tient pas compte de la mortalité accrue des fondatrices.</x:v>
      </x:c>
      <x:c r="L602" s="508" t="str">
        <x:v>Degré d’hygiène sensible au varroa, ou VSH (pourcentage). Ce facteur a un effet important sur le nombre de filles par cycle ! Cette saisie peut sous-estimer l’effet net du VSH, car elle ne tient pas compte de la mortalité accrue des fondatrices.</x:v>
      </x:c>
      <x:c r="M602" s="508" t="str">
        <x:v>Degré d’hygiène sensible au varroa, ou VSH (pourcentage). Ce facteur a un effet important sur le nombre de filles par cycle ! Cette saisie peut sous-estimer l’effet net du VSH, car elle ne tient pas compte de la mortalité accrue des fondatrices.</x:v>
      </x:c>
    </x:row>
    <x:row r="603" ht="18" customHeight="1">
      <x:c r="A603" s="498"/>
      <x:c r="B603" s="498"/>
      <x:c r="C603" s="498"/>
      <x:c r="D603" s="498"/>
      <x:c r="E603" s="498"/>
      <x:c r="F603" s="498"/>
      <x:c r="G603" s="498"/>
      <x:c r="H603" s="498"/>
      <x:c r="I603" s="498"/>
      <x:c r="J603" s="498"/>
      <x:c r="K603" s="498"/>
      <x:c r="L603" s="498"/>
      <x:c r="M603" s="498"/>
    </x:row>
    <x:row r="604" ht="18" customHeight="1">
      <x:c r="A604" s="498"/>
      <x:c r="B604" s="529" t="str">
        <x:v>Texte de la feuille · BE51</x:v>
      </x:c>
      <x:c r="C604" s="529" t="str">
        <x:v>Texte de la feuille · BE51</x:v>
      </x:c>
      <x:c r="D604" s="529" t="str">
        <x:v>Texte de la feuille · BE51</x:v>
      </x:c>
      <x:c r="E604" s="529" t="str">
        <x:v>Texte de la feuille · BE51</x:v>
      </x:c>
      <x:c r="F604" s="529" t="str">
        <x:v>Texte de la feuille · BE51</x:v>
      </x:c>
      <x:c r="G604" s="529" t="str">
        <x:v>Texte de la feuille · BE51</x:v>
      </x:c>
      <x:c r="H604" s="529" t="str">
        <x:v>Texte de la feuille · BE51</x:v>
      </x:c>
      <x:c r="I604" s="529" t="str">
        <x:v>Texte de la feuille · BE51</x:v>
      </x:c>
      <x:c r="J604" s="529" t="str">
        <x:v>Texte de la feuille · BE51</x:v>
      </x:c>
      <x:c r="K604" s="529" t="str">
        <x:v>Texte de la feuille · BE51</x:v>
      </x:c>
      <x:c r="L604" s="529" t="str">
        <x:v>Texte de la feuille · BE51</x:v>
      </x:c>
      <x:c r="M604" s="529" t="str">
        <x:v>Texte de la feuille · BE51</x:v>
      </x:c>
    </x:row>
    <x:row r="605" ht="56.400001525878906" customHeight="1">
      <x:c r="A605" s="498"/>
      <x:c r="B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C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D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E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F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G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H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I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J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K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L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c r="M605" s="508" t="str">
        <x:v>Ce nombre est souvent appelé « valeur sélective » (« fitness »). Une fondatrice dans une cellule d’ouvrière peut potentiellement produire un peu plus de 2 filles (voir Kuster 2014, 1710–1718, doi:10.1242/jeb.097766), mais différentes études indiquent que le nombre observé est habituellement inférieur.</x:v>
      </x:c>
    </x:row>
    <x:row r="606" ht="18" customHeight="1">
      <x:c r="A606" s="498"/>
      <x:c r="B606" s="498"/>
      <x:c r="C606" s="498"/>
      <x:c r="D606" s="498"/>
      <x:c r="E606" s="498"/>
      <x:c r="F606" s="498"/>
      <x:c r="G606" s="498"/>
      <x:c r="H606" s="498"/>
      <x:c r="I606" s="498"/>
      <x:c r="J606" s="498"/>
      <x:c r="K606" s="498"/>
      <x:c r="L606" s="498"/>
      <x:c r="M606" s="498"/>
    </x:row>
    <x:row r="607" ht="18" customHeight="1">
      <x:c r="A607" s="498"/>
      <x:c r="B607" s="529" t="str">
        <x:v>Note de calcul — Randy Oliver · AZ40</x:v>
      </x:c>
      <x:c r="C607" s="529" t="str">
        <x:v>Note de calcul — Randy Oliver · AZ40</x:v>
      </x:c>
      <x:c r="D607" s="529" t="str">
        <x:v>Note de calcul — Randy Oliver · AZ40</x:v>
      </x:c>
      <x:c r="E607" s="529" t="str">
        <x:v>Note de calcul — Randy Oliver · AZ40</x:v>
      </x:c>
      <x:c r="F607" s="529" t="str">
        <x:v>Note de calcul — Randy Oliver · AZ40</x:v>
      </x:c>
      <x:c r="G607" s="529" t="str">
        <x:v>Note de calcul — Randy Oliver · AZ40</x:v>
      </x:c>
      <x:c r="H607" s="529" t="str">
        <x:v>Note de calcul — Randy Oliver · AZ40</x:v>
      </x:c>
      <x:c r="I607" s="529" t="str">
        <x:v>Note de calcul — Randy Oliver · AZ40</x:v>
      </x:c>
      <x:c r="J607" s="529" t="str">
        <x:v>Note de calcul — Randy Oliver · AZ40</x:v>
      </x:c>
      <x:c r="K607" s="529" t="str">
        <x:v>Note de calcul — Randy Oliver · AZ40</x:v>
      </x:c>
      <x:c r="L607" s="529" t="str">
        <x:v>Note de calcul — Randy Oliver · AZ40</x:v>
      </x:c>
      <x:c r="M607" s="529" t="str">
        <x:v>Note de calcul — Randy Oliver · AZ40</x:v>
      </x:c>
    </x:row>
    <x:row r="608" ht="31" customHeight="1">
      <x:c r="A608" s="498"/>
      <x:c r="B608" s="508" t="str">
        <x:v>Randy Oliver :</x:v>
      </x:c>
      <x:c r="C608" s="508" t="str">
        <x:v>Randy Oliver :</x:v>
      </x:c>
      <x:c r="D608" s="508" t="str">
        <x:v>Randy Oliver :</x:v>
      </x:c>
      <x:c r="E608" s="508" t="str">
        <x:v>Randy Oliver :</x:v>
      </x:c>
      <x:c r="F608" s="508" t="str">
        <x:v>Randy Oliver :</x:v>
      </x:c>
      <x:c r="G608" s="508" t="str">
        <x:v>Randy Oliver :</x:v>
      </x:c>
      <x:c r="H608" s="508" t="str">
        <x:v>Randy Oliver :</x:v>
      </x:c>
      <x:c r="I608" s="508" t="str">
        <x:v>Randy Oliver :</x:v>
      </x:c>
      <x:c r="J608" s="508" t="str">
        <x:v>Randy Oliver :</x:v>
      </x:c>
      <x:c r="K608" s="508" t="str">
        <x:v>Randy Oliver :</x:v>
      </x:c>
      <x:c r="L608" s="508" t="str">
        <x:v>Randy Oliver :</x:v>
      </x:c>
      <x:c r="M608" s="508" t="str">
        <x:v>Randy Oliver :</x:v>
      </x:c>
    </x:row>
    <x:row r="609" ht="56.400001525878906" customHeight="1">
      <x:c r="A609" s="498"/>
      <x:c r="B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C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D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E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F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G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H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I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J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K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L609" s="508" t="str">
        <x:v>Ce nombre est souvent désigné par le terme « valeur sélective » (fitness). Une fondatrice dans une cellule d’ouvrière peut potentiellement produire un peu plus de 2 filles, mais diverses études indiquent que le nombre observé est généralement inférieur.</x:v>
      </x:c>
      <x:c r="M609" s="508" t="str">
        <x:v>Ce nombre est souvent désigné par le terme « valeur sélective » (fitness). Une fondatrice dans une cellule d’ouvrière peut potentiellement produire un peu plus de 2 filles, mais diverses études indiquent que le nombre observé est généralement inférieur.</x:v>
      </x:c>
    </x:row>
    <x:row r="610" ht="31" customHeight="1">
      <x:c r="A610" s="498"/>
      <x:c r="B610" s="508" t="str">
        <x:v>Voir le graphique du Dr Stephen Martin dans l’onglet Croissance comparée, ainsi que :</x:v>
      </x:c>
      <x:c r="C610" s="508" t="str">
        <x:v>Voir le graphique du Dr Stephen Martin dans l’onglet Croissance comparée, ainsi que :</x:v>
      </x:c>
      <x:c r="D610" s="508" t="str">
        <x:v>Voir le graphique du Dr Stephen Martin dans l’onglet Croissance comparée, ainsi que :</x:v>
      </x:c>
      <x:c r="E610" s="508" t="str">
        <x:v>Voir le graphique du Dr Stephen Martin dans l’onglet Croissance comparée, ainsi que :</x:v>
      </x:c>
      <x:c r="F610" s="508" t="str">
        <x:v>Voir le graphique du Dr Stephen Martin dans l’onglet Croissance comparée, ainsi que :</x:v>
      </x:c>
      <x:c r="G610" s="508" t="str">
        <x:v>Voir le graphique du Dr Stephen Martin dans l’onglet Croissance comparée, ainsi que :</x:v>
      </x:c>
      <x:c r="H610" s="508" t="str">
        <x:v>Voir le graphique du Dr Stephen Martin dans l’onglet Croissance comparée, ainsi que :</x:v>
      </x:c>
      <x:c r="I610" s="508" t="str">
        <x:v>Voir le graphique du Dr Stephen Martin dans l’onglet Croissance comparée, ainsi que :</x:v>
      </x:c>
      <x:c r="J610" s="508" t="str">
        <x:v>Voir le graphique du Dr Stephen Martin dans l’onglet Croissance comparée, ainsi que :</x:v>
      </x:c>
      <x:c r="K610" s="508" t="str">
        <x:v>Voir le graphique du Dr Stephen Martin dans l’onglet Croissance comparée, ainsi que :</x:v>
      </x:c>
      <x:c r="L610" s="508" t="str">
        <x:v>Voir le graphique du Dr Stephen Martin dans l’onglet Croissance comparée, ainsi que :</x:v>
      </x:c>
      <x:c r="M610" s="508" t="str">
        <x:v>Voir le graphique du Dr Stephen Martin dans l’onglet Croissance comparée, ainsi que :</x:v>
      </x:c>
    </x:row>
    <x:row r="611" ht="56.400001525878906" customHeight="1">
      <x:c r="A611" s="498"/>
      <x:c r="B611" s="508" t="str">
        <x:v>Al Ghamdi, A et R Hoopingarner (2003) Biologie reproductive de Varroa jacobsoni Oud. dans le couvain d’ouvrières et de mâles de l’abeille Apis mellifera L. dans les conditions du Michigan. Pakistan Journal of Biological Sciences 6 (8): 756-761.</x:v>
      </x:c>
      <x:c r="C611" s="508" t="str">
        <x:v>Al Ghamdi, A et R Hoopingarner (2003) Biologie reproductive de Varroa jacobsoni Oud. dans le couvain d’ouvrières et de mâles de l’abeille Apis mellifera L. dans les conditions du Michigan. Pakistan Journal of Biological Sciences 6 (8): 756-761.</x:v>
      </x:c>
      <x:c r="D611" s="508" t="str">
        <x:v>Al Ghamdi, A et R Hoopingarner (2003) Biologie reproductive de Varroa jacobsoni Oud. dans le couvain d’ouvrières et de mâles de l’abeille Apis mellifera L. dans les conditions du Michigan. Pakistan Journal of Biological Sciences 6 (8): 756-761.</x:v>
      </x:c>
      <x:c r="E611" s="508" t="str">
        <x:v>Al Ghamdi, A et R Hoopingarner (2003) Biologie reproductive de Varroa jacobsoni Oud. dans le couvain d’ouvrières et de mâles de l’abeille Apis mellifera L. dans les conditions du Michigan. Pakistan Journal of Biological Sciences 6 (8): 756-761.</x:v>
      </x:c>
      <x:c r="F611" s="508" t="str">
        <x:v>Al Ghamdi, A et R Hoopingarner (2003) Biologie reproductive de Varroa jacobsoni Oud. dans le couvain d’ouvrières et de mâles de l’abeille Apis mellifera L. dans les conditions du Michigan. Pakistan Journal of Biological Sciences 6 (8): 756-761.</x:v>
      </x:c>
      <x:c r="G611" s="508" t="str">
        <x:v>Al Ghamdi, A et R Hoopingarner (2003) Biologie reproductive de Varroa jacobsoni Oud. dans le couvain d’ouvrières et de mâles de l’abeille Apis mellifera L. dans les conditions du Michigan. Pakistan Journal of Biological Sciences 6 (8): 756-761.</x:v>
      </x:c>
      <x:c r="H611" s="508" t="str">
        <x:v>Al Ghamdi, A et R Hoopingarner (2003) Biologie reproductive de Varroa jacobsoni Oud. dans le couvain d’ouvrières et de mâles de l’abeille Apis mellifera L. dans les conditions du Michigan. Pakistan Journal of Biological Sciences 6 (8): 756-761.</x:v>
      </x:c>
      <x:c r="I611" s="508" t="str">
        <x:v>Al Ghamdi, A et R Hoopingarner (2003) Biologie reproductive de Varroa jacobsoni Oud. dans le couvain d’ouvrières et de mâles de l’abeille Apis mellifera L. dans les conditions du Michigan. Pakistan Journal of Biological Sciences 6 (8): 756-761.</x:v>
      </x:c>
      <x:c r="J611" s="508" t="str">
        <x:v>Al Ghamdi, A et R Hoopingarner (2003) Biologie reproductive de Varroa jacobsoni Oud. dans le couvain d’ouvrières et de mâles de l’abeille Apis mellifera L. dans les conditions du Michigan. Pakistan Journal of Biological Sciences 6 (8): 756-761.</x:v>
      </x:c>
      <x:c r="K611" s="508" t="str">
        <x:v>Al Ghamdi, A et R Hoopingarner (2003) Biologie reproductive de Varroa jacobsoni Oud. dans le couvain d’ouvrières et de mâles de l’abeille Apis mellifera L. dans les conditions du Michigan. Pakistan Journal of Biological Sciences 6 (8): 756-761.</x:v>
      </x:c>
      <x:c r="L611" s="508" t="str">
        <x:v>Al Ghamdi, A et R Hoopingarner (2003) Biologie reproductive de Varroa jacobsoni Oud. dans le couvain d’ouvrières et de mâles de l’abeille Apis mellifera L. dans les conditions du Michigan. Pakistan Journal of Biological Sciences 6 (8): 756-761.</x:v>
      </x:c>
      <x:c r="M611" s="508" t="str">
        <x:v>Al Ghamdi, A et R Hoopingarner (2003) Biologie reproductive de Varroa jacobsoni Oud. dans le couvain d’ouvrières et de mâles de l’abeille Apis mellifera L. dans les conditions du Michigan. Pakistan Journal of Biological Sciences 6 (8): 756-761.</x:v>
      </x:c>
    </x:row>
    <x:row r="612" ht="41.599998474121094" customHeight="1">
      <x:c r="A612" s="498"/>
      <x:c r="B612" s="508" t="str">
        <x:v>Kuster (2014) Dynamique des transcrits des gènes immunitaires et viraux lors de l’infestation parasitaire par Varroa destructor des nymphes d’abeilles (Apis mellifera) en développement.</x:v>
      </x:c>
      <x:c r="C612" s="508" t="str">
        <x:v>Kuster (2014) Dynamique des transcrits des gènes immunitaires et viraux lors de l’infestation parasitaire par Varroa destructor des nymphes d’abeilles (Apis mellifera) en développement.</x:v>
      </x:c>
      <x:c r="D612" s="508" t="str">
        <x:v>Kuster (2014) Dynamique des transcrits des gènes immunitaires et viraux lors de l’infestation parasitaire par Varroa destructor des nymphes d’abeilles (Apis mellifera) en développement.</x:v>
      </x:c>
      <x:c r="E612" s="508" t="str">
        <x:v>Kuster (2014) Dynamique des transcrits des gènes immunitaires et viraux lors de l’infestation parasitaire par Varroa destructor des nymphes d’abeilles (Apis mellifera) en développement.</x:v>
      </x:c>
      <x:c r="F612" s="508" t="str">
        <x:v>Kuster (2014) Dynamique des transcrits des gènes immunitaires et viraux lors de l’infestation parasitaire par Varroa destructor des nymphes d’abeilles (Apis mellifera) en développement.</x:v>
      </x:c>
      <x:c r="G612" s="508" t="str">
        <x:v>Kuster (2014) Dynamique des transcrits des gènes immunitaires et viraux lors de l’infestation parasitaire par Varroa destructor des nymphes d’abeilles (Apis mellifera) en développement.</x:v>
      </x:c>
      <x:c r="H612" s="508" t="str">
        <x:v>Kuster (2014) Dynamique des transcrits des gènes immunitaires et viraux lors de l’infestation parasitaire par Varroa destructor des nymphes d’abeilles (Apis mellifera) en développement.</x:v>
      </x:c>
      <x:c r="I612" s="508" t="str">
        <x:v>Kuster (2014) Dynamique des transcrits des gènes immunitaires et viraux lors de l’infestation parasitaire par Varroa destructor des nymphes d’abeilles (Apis mellifera) en développement.</x:v>
      </x:c>
      <x:c r="J612" s="508" t="str">
        <x:v>Kuster (2014) Dynamique des transcrits des gènes immunitaires et viraux lors de l’infestation parasitaire par Varroa destructor des nymphes d’abeilles (Apis mellifera) en développement.</x:v>
      </x:c>
      <x:c r="K612" s="508" t="str">
        <x:v>Kuster (2014) Dynamique des transcrits des gènes immunitaires et viraux lors de l’infestation parasitaire par Varroa destructor des nymphes d’abeilles (Apis mellifera) en développement.</x:v>
      </x:c>
      <x:c r="L612" s="508" t="str">
        <x:v>Kuster (2014) Dynamique des transcrits des gènes immunitaires et viraux lors de l’infestation parasitaire par Varroa destructor des nymphes d’abeilles (Apis mellifera) en développement.</x:v>
      </x:c>
      <x:c r="M612" s="508" t="str">
        <x:v>Kuster (2014) Dynamique des transcrits des gènes immunitaires et viraux lors de l’infestation parasitaire par Varroa destructor des nymphes d’abeilles (Apis mellifera) en développement.</x:v>
      </x:c>
    </x:row>
    <x:row r="613" ht="31" customHeight="1">
      <x:c r="A613" s="498"/>
      <x:c r="B613" s="508" t="str">
        <x:v>doi:10.1242/jeb.097766</x:v>
      </x:c>
      <x:c r="C613" s="508" t="str">
        <x:v>doi:10.1242/jeb.097766</x:v>
      </x:c>
      <x:c r="D613" s="508" t="str">
        <x:v>doi:10.1242/jeb.097766</x:v>
      </x:c>
      <x:c r="E613" s="508" t="str">
        <x:v>doi:10.1242/jeb.097766</x:v>
      </x:c>
      <x:c r="F613" s="508" t="str">
        <x:v>doi:10.1242/jeb.097766</x:v>
      </x:c>
      <x:c r="G613" s="508" t="str">
        <x:v>doi:10.1242/jeb.097766</x:v>
      </x:c>
      <x:c r="H613" s="508" t="str">
        <x:v>doi:10.1242/jeb.097766</x:v>
      </x:c>
      <x:c r="I613" s="508" t="str">
        <x:v>doi:10.1242/jeb.097766</x:v>
      </x:c>
      <x:c r="J613" s="508" t="str">
        <x:v>doi:10.1242/jeb.097766</x:v>
      </x:c>
      <x:c r="K613" s="508" t="str">
        <x:v>doi:10.1242/jeb.097766</x:v>
      </x:c>
      <x:c r="L613" s="508" t="str">
        <x:v>doi:10.1242/jeb.097766</x:v>
      </x:c>
      <x:c r="M613" s="508" t="str">
        <x:v>doi:10.1242/jeb.097766</x:v>
      </x:c>
    </x:row>
    <x:row r="614" ht="41.599998474121094" customHeight="1">
      <x:c r="A614" s="498"/>
      <x:c r="B614" s="508" t="str">
        <x:v>Une synthèse plus récente est celle de Xie, X. et al. (2016) Pourquoi les varroas préfèrent-ils les abeilles nourrices ? Sci. Rep. 6, 28228 ; doi: 10.1038/srep28228.</x:v>
      </x:c>
      <x:c r="C614" s="508" t="str">
        <x:v>Une synthèse plus récente est celle de Xie, X. et al. (2016) Pourquoi les varroas préfèrent-ils les abeilles nourrices ? Sci. Rep. 6, 28228 ; doi: 10.1038/srep28228.</x:v>
      </x:c>
      <x:c r="D614" s="508" t="str">
        <x:v>Une synthèse plus récente est celle de Xie, X. et al. (2016) Pourquoi les varroas préfèrent-ils les abeilles nourrices ? Sci. Rep. 6, 28228 ; doi: 10.1038/srep28228.</x:v>
      </x:c>
      <x:c r="E614" s="508" t="str">
        <x:v>Une synthèse plus récente est celle de Xie, X. et al. (2016) Pourquoi les varroas préfèrent-ils les abeilles nourrices ? Sci. Rep. 6, 28228 ; doi: 10.1038/srep28228.</x:v>
      </x:c>
      <x:c r="F614" s="508" t="str">
        <x:v>Une synthèse plus récente est celle de Xie, X. et al. (2016) Pourquoi les varroas préfèrent-ils les abeilles nourrices ? Sci. Rep. 6, 28228 ; doi: 10.1038/srep28228.</x:v>
      </x:c>
      <x:c r="G614" s="508" t="str">
        <x:v>Une synthèse plus récente est celle de Xie, X. et al. (2016) Pourquoi les varroas préfèrent-ils les abeilles nourrices ? Sci. Rep. 6, 28228 ; doi: 10.1038/srep28228.</x:v>
      </x:c>
      <x:c r="H614" s="508" t="str">
        <x:v>Une synthèse plus récente est celle de Xie, X. et al. (2016) Pourquoi les varroas préfèrent-ils les abeilles nourrices ? Sci. Rep. 6, 28228 ; doi: 10.1038/srep28228.</x:v>
      </x:c>
      <x:c r="I614" s="508" t="str">
        <x:v>Une synthèse plus récente est celle de Xie, X. et al. (2016) Pourquoi les varroas préfèrent-ils les abeilles nourrices ? Sci. Rep. 6, 28228 ; doi: 10.1038/srep28228.</x:v>
      </x:c>
      <x:c r="J614" s="508" t="str">
        <x:v>Une synthèse plus récente est celle de Xie, X. et al. (2016) Pourquoi les varroas préfèrent-ils les abeilles nourrices ? Sci. Rep. 6, 28228 ; doi: 10.1038/srep28228.</x:v>
      </x:c>
      <x:c r="K614" s="508" t="str">
        <x:v>Une synthèse plus récente est celle de Xie, X. et al. (2016) Pourquoi les varroas préfèrent-ils les abeilles nourrices ? Sci. Rep. 6, 28228 ; doi: 10.1038/srep28228.</x:v>
      </x:c>
      <x:c r="L614" s="508" t="str">
        <x:v>Une synthèse plus récente est celle de Xie, X. et al. (2016) Pourquoi les varroas préfèrent-ils les abeilles nourrices ? Sci. Rep. 6, 28228 ; doi: 10.1038/srep28228.</x:v>
      </x:c>
      <x:c r="M614" s="508" t="str">
        <x:v>Une synthèse plus récente est celle de Xie, X. et al. (2016) Pourquoi les varroas préfèrent-ils les abeilles nourrices ? Sci. Rep. 6, 28228 ; doi: 10.1038/srep28228.</x:v>
      </x:c>
    </x:row>
    <x:row r="615" ht="18" customHeight="1">
      <x:c r="A615" s="498"/>
      <x:c r="B615" s="498"/>
      <x:c r="C615" s="498"/>
      <x:c r="D615" s="498"/>
      <x:c r="E615" s="498"/>
      <x:c r="F615" s="498"/>
      <x:c r="G615" s="498"/>
      <x:c r="H615" s="498"/>
      <x:c r="I615" s="498"/>
      <x:c r="J615" s="498"/>
      <x:c r="K615" s="498"/>
      <x:c r="L615" s="498"/>
      <x:c r="M615" s="498"/>
    </x:row>
    <x:row r="616" ht="18" customHeight="1">
      <x:c r="A616" s="498"/>
      <x:c r="B616" s="498"/>
      <x:c r="C616" s="498"/>
      <x:c r="D616" s="498"/>
      <x:c r="E616" s="498"/>
      <x:c r="F616" s="498"/>
      <x:c r="G616" s="498"/>
      <x:c r="H616" s="498"/>
      <x:c r="I616" s="498"/>
      <x:c r="J616" s="498"/>
      <x:c r="K616" s="498"/>
      <x:c r="L616" s="498"/>
      <x:c r="M616" s="498"/>
    </x:row>
    <x:row r="617" ht="18" customHeight="1">
      <x:c r="A617" s="498"/>
      <x:c r="B617" s="498"/>
      <x:c r="C617" s="498"/>
      <x:c r="D617" s="498"/>
      <x:c r="E617" s="498"/>
      <x:c r="F617" s="498"/>
      <x:c r="G617" s="498"/>
      <x:c r="H617" s="498"/>
      <x:c r="I617" s="498"/>
      <x:c r="J617" s="498"/>
      <x:c r="K617" s="498"/>
      <x:c r="L617" s="498"/>
      <x:c r="M617" s="498"/>
    </x:row>
    <x:row r="618" ht="18" customHeight="1">
      <x:c r="A618" s="498"/>
      <x:c r="B618" s="498"/>
      <x:c r="C618" s="498"/>
      <x:c r="D618" s="498"/>
      <x:c r="E618" s="498"/>
      <x:c r="F618" s="498"/>
      <x:c r="G618" s="498"/>
      <x:c r="H618" s="498"/>
      <x:c r="I618" s="498"/>
      <x:c r="J618" s="498"/>
      <x:c r="K618" s="498"/>
      <x:c r="L618" s="498"/>
      <x:c r="M618" s="498"/>
    </x:row>
    <x:row r="619" ht="18" customHeight="1">
      <x:c r="A619" s="498"/>
      <x:c r="B619" s="498"/>
      <x:c r="C619" s="498"/>
      <x:c r="D619" s="498"/>
      <x:c r="E619" s="498"/>
      <x:c r="F619" s="498"/>
      <x:c r="G619" s="498"/>
      <x:c r="H619" s="498"/>
      <x:c r="I619" s="498"/>
      <x:c r="J619" s="498"/>
      <x:c r="K619" s="498"/>
      <x:c r="L619" s="498"/>
      <x:c r="M619" s="498"/>
    </x:row>
    <x:row r="620" ht="18" customHeight="1">
      <x:c r="A620" s="498"/>
      <x:c r="B620" s="498"/>
      <x:c r="C620" s="498"/>
      <x:c r="D620" s="498"/>
      <x:c r="E620" s="498"/>
      <x:c r="F620" s="498"/>
      <x:c r="G620" s="498"/>
      <x:c r="H620" s="498"/>
      <x:c r="I620" s="498"/>
      <x:c r="J620" s="498"/>
      <x:c r="K620" s="498"/>
      <x:c r="L620" s="498"/>
      <x:c r="M620" s="498"/>
    </x:row>
    <x:row r="621" ht="18" customHeight="1">
      <x:c r="A621" s="498"/>
      <x:c r="B621" s="498"/>
      <x:c r="C621" s="498"/>
      <x:c r="D621" s="498"/>
      <x:c r="E621" s="498"/>
      <x:c r="F621" s="498"/>
      <x:c r="G621" s="498"/>
      <x:c r="H621" s="498"/>
      <x:c r="I621" s="498"/>
      <x:c r="J621" s="498"/>
      <x:c r="K621" s="498"/>
      <x:c r="L621" s="498"/>
      <x:c r="M621" s="498"/>
    </x:row>
    <x:row r="622" ht="18" customHeight="1">
      <x:c r="A622" s="498"/>
      <x:c r="B622" s="498"/>
      <x:c r="C622" s="498"/>
      <x:c r="D622" s="498"/>
      <x:c r="E622" s="498"/>
      <x:c r="F622" s="498"/>
      <x:c r="G622" s="498"/>
      <x:c r="H622" s="498"/>
      <x:c r="I622" s="498"/>
      <x:c r="J622" s="498"/>
      <x:c r="K622" s="498"/>
      <x:c r="L622" s="498"/>
      <x:c r="M622" s="498"/>
    </x:row>
    <x:row r="623" ht="18" customHeight="1">
      <x:c r="A623" s="498"/>
      <x:c r="B623" s="498"/>
      <x:c r="C623" s="498"/>
      <x:c r="D623" s="498"/>
      <x:c r="E623" s="498"/>
      <x:c r="F623" s="498"/>
      <x:c r="G623" s="498"/>
      <x:c r="H623" s="498"/>
      <x:c r="I623" s="498"/>
      <x:c r="J623" s="498"/>
      <x:c r="K623" s="498"/>
      <x:c r="L623" s="498"/>
      <x:c r="M623" s="498"/>
    </x:row>
    <x:row r="624" ht="18" customHeight="1">
      <x:c r="A624" s="498"/>
      <x:c r="B624" s="498"/>
      <x:c r="C624" s="498"/>
      <x:c r="D624" s="498"/>
      <x:c r="E624" s="498"/>
      <x:c r="F624" s="498"/>
      <x:c r="G624" s="498"/>
      <x:c r="H624" s="498"/>
      <x:c r="I624" s="498"/>
      <x:c r="J624" s="498"/>
      <x:c r="K624" s="498"/>
      <x:c r="L624" s="498"/>
      <x:c r="M624" s="498"/>
    </x:row>
    <x:row r="625" ht="18" customHeight="1">
      <x:c r="A625" s="498"/>
      <x:c r="B625" s="498"/>
      <x:c r="C625" s="498"/>
      <x:c r="D625" s="498"/>
      <x:c r="E625" s="498"/>
      <x:c r="F625" s="498"/>
      <x:c r="G625" s="498"/>
      <x:c r="H625" s="498"/>
      <x:c r="I625" s="498"/>
      <x:c r="J625" s="498"/>
      <x:c r="K625" s="498"/>
      <x:c r="L625" s="498"/>
      <x:c r="M625" s="498"/>
    </x:row>
    <x:row r="626" ht="18" customHeight="1">
      <x:c r="A626" s="498"/>
      <x:c r="B626" s="498"/>
      <x:c r="C626" s="498"/>
      <x:c r="D626" s="498"/>
      <x:c r="E626" s="498"/>
      <x:c r="F626" s="498"/>
      <x:c r="G626" s="498"/>
      <x:c r="H626" s="498"/>
      <x:c r="I626" s="498"/>
      <x:c r="J626" s="498"/>
      <x:c r="K626" s="498"/>
      <x:c r="L626" s="498"/>
      <x:c r="M626" s="498"/>
    </x:row>
    <x:row r="627" ht="18" customHeight="1">
      <x:c r="A627" s="498"/>
      <x:c r="B627" s="498"/>
      <x:c r="C627" s="498"/>
      <x:c r="D627" s="498"/>
      <x:c r="E627" s="498"/>
      <x:c r="F627" s="498"/>
      <x:c r="G627" s="498"/>
      <x:c r="H627" s="498"/>
      <x:c r="I627" s="498"/>
      <x:c r="J627" s="498"/>
      <x:c r="K627" s="498"/>
      <x:c r="L627" s="498"/>
      <x:c r="M627" s="498"/>
    </x:row>
    <x:row r="628" ht="18" customHeight="1">
      <x:c r="A628" s="498"/>
      <x:c r="B628" s="498"/>
      <x:c r="C628" s="498"/>
      <x:c r="D628" s="498"/>
      <x:c r="E628" s="498"/>
      <x:c r="F628" s="498"/>
      <x:c r="G628" s="498"/>
      <x:c r="H628" s="498"/>
      <x:c r="I628" s="498"/>
      <x:c r="J628" s="498"/>
      <x:c r="K628" s="498"/>
      <x:c r="L628" s="498"/>
      <x:c r="M628" s="498"/>
    </x:row>
    <x:row r="629" ht="18" customHeight="1">
      <x:c r="A629" s="498"/>
      <x:c r="B629" s="498"/>
      <x:c r="C629" s="498"/>
      <x:c r="D629" s="498"/>
      <x:c r="E629" s="498"/>
      <x:c r="F629" s="498"/>
      <x:c r="G629" s="498"/>
      <x:c r="H629" s="498"/>
      <x:c r="I629" s="498"/>
      <x:c r="J629" s="498"/>
      <x:c r="K629" s="498"/>
      <x:c r="L629" s="498"/>
      <x:c r="M629" s="498"/>
    </x:row>
    <x:row r="630" ht="18" customHeight="1">
      <x:c r="A630" s="498"/>
      <x:c r="B630" s="498"/>
      <x:c r="C630" s="498"/>
      <x:c r="D630" s="498"/>
      <x:c r="E630" s="498"/>
      <x:c r="F630" s="498"/>
      <x:c r="G630" s="498"/>
      <x:c r="H630" s="498"/>
      <x:c r="I630" s="498"/>
      <x:c r="J630" s="498"/>
      <x:c r="K630" s="498"/>
      <x:c r="L630" s="498"/>
      <x:c r="M630" s="498"/>
    </x:row>
    <x:row r="631" ht="18" customHeight="1">
      <x:c r="A631" s="498"/>
      <x:c r="B631" s="498"/>
      <x:c r="C631" s="498"/>
      <x:c r="D631" s="498"/>
      <x:c r="E631" s="498"/>
      <x:c r="F631" s="498"/>
      <x:c r="G631" s="498"/>
      <x:c r="H631" s="498"/>
      <x:c r="I631" s="498"/>
      <x:c r="J631" s="498"/>
      <x:c r="K631" s="498"/>
      <x:c r="L631" s="498"/>
      <x:c r="M631" s="498"/>
    </x:row>
    <x:row r="632" ht="18" customHeight="1">
      <x:c r="A632" s="498"/>
      <x:c r="B632" s="498"/>
      <x:c r="C632" s="498"/>
      <x:c r="D632" s="498"/>
      <x:c r="E632" s="498"/>
      <x:c r="F632" s="498"/>
      <x:c r="G632" s="498"/>
      <x:c r="H632" s="498"/>
      <x:c r="I632" s="498"/>
      <x:c r="J632" s="498"/>
      <x:c r="K632" s="498"/>
      <x:c r="L632" s="498"/>
      <x:c r="M632" s="498"/>
    </x:row>
    <x:row r="633" ht="18" customHeight="1">
      <x:c r="A633" s="498"/>
      <x:c r="B633" s="498"/>
      <x:c r="C633" s="498"/>
      <x:c r="D633" s="498"/>
      <x:c r="E633" s="498"/>
      <x:c r="F633" s="498"/>
      <x:c r="G633" s="498"/>
      <x:c r="H633" s="498"/>
      <x:c r="I633" s="498"/>
      <x:c r="J633" s="498"/>
      <x:c r="K633" s="498"/>
      <x:c r="L633" s="498"/>
      <x:c r="M633" s="498"/>
    </x:row>
    <x:row r="634" ht="18" customHeight="1">
      <x:c r="A634" s="498"/>
      <x:c r="B634" s="498"/>
      <x:c r="C634" s="498"/>
      <x:c r="D634" s="498"/>
      <x:c r="E634" s="498"/>
      <x:c r="F634" s="498"/>
      <x:c r="G634" s="498"/>
      <x:c r="H634" s="498"/>
      <x:c r="I634" s="498"/>
      <x:c r="J634" s="498"/>
      <x:c r="K634" s="498"/>
      <x:c r="L634" s="498"/>
      <x:c r="M634" s="498"/>
    </x:row>
    <x:row r="635" ht="18" customHeight="1">
      <x:c r="A635" s="498"/>
      <x:c r="B635" s="498"/>
      <x:c r="C635" s="498"/>
      <x:c r="D635" s="498"/>
      <x:c r="E635" s="498"/>
      <x:c r="F635" s="498"/>
      <x:c r="G635" s="498"/>
      <x:c r="H635" s="498"/>
      <x:c r="I635" s="498"/>
      <x:c r="J635" s="498"/>
      <x:c r="K635" s="498"/>
      <x:c r="L635" s="498"/>
      <x:c r="M635" s="498"/>
    </x:row>
    <x:row r="636" ht="18" customHeight="1">
      <x:c r="A636" s="498"/>
      <x:c r="B636" s="498"/>
      <x:c r="C636" s="498"/>
      <x:c r="D636" s="498"/>
      <x:c r="E636" s="498"/>
      <x:c r="F636" s="498"/>
      <x:c r="G636" s="498"/>
      <x:c r="H636" s="498"/>
      <x:c r="I636" s="498"/>
      <x:c r="J636" s="498"/>
      <x:c r="K636" s="498"/>
      <x:c r="L636" s="498"/>
      <x:c r="M636" s="498"/>
    </x:row>
    <x:row r="637" ht="18" customHeight="1">
      <x:c r="A637" s="498"/>
      <x:c r="B637" s="498"/>
      <x:c r="C637" s="498"/>
      <x:c r="D637" s="498"/>
      <x:c r="E637" s="498"/>
      <x:c r="F637" s="498"/>
      <x:c r="G637" s="498"/>
      <x:c r="H637" s="498"/>
      <x:c r="I637" s="498"/>
      <x:c r="J637" s="498"/>
      <x:c r="K637" s="498"/>
      <x:c r="L637" s="498"/>
      <x:c r="M637" s="498"/>
    </x:row>
    <x:row r="638" ht="18" customHeight="1">
      <x:c r="A638" s="498"/>
      <x:c r="B638" s="498"/>
      <x:c r="C638" s="498"/>
      <x:c r="D638" s="498"/>
      <x:c r="E638" s="498"/>
      <x:c r="F638" s="498"/>
      <x:c r="G638" s="498"/>
      <x:c r="H638" s="498"/>
      <x:c r="I638" s="498"/>
      <x:c r="J638" s="498"/>
      <x:c r="K638" s="498"/>
      <x:c r="L638" s="498"/>
      <x:c r="M638" s="498"/>
    </x:row>
    <x:row r="639" ht="18" customHeight="1">
      <x:c r="A639" s="498"/>
      <x:c r="B639" s="498"/>
      <x:c r="C639" s="498"/>
      <x:c r="D639" s="498"/>
      <x:c r="E639" s="498"/>
      <x:c r="F639" s="498"/>
      <x:c r="G639" s="498"/>
      <x:c r="H639" s="498"/>
      <x:c r="I639" s="498"/>
      <x:c r="J639" s="498"/>
      <x:c r="K639" s="498"/>
      <x:c r="L639" s="498"/>
      <x:c r="M639" s="498"/>
    </x:row>
    <x:row r="640" ht="18" customHeight="1">
      <x:c r="A640" s="498"/>
      <x:c r="B640" s="498"/>
      <x:c r="C640" s="498"/>
      <x:c r="D640" s="498"/>
      <x:c r="E640" s="498"/>
      <x:c r="F640" s="498"/>
      <x:c r="G640" s="498"/>
      <x:c r="H640" s="498"/>
      <x:c r="I640" s="498"/>
      <x:c r="J640" s="498"/>
      <x:c r="K640" s="498"/>
      <x:c r="L640" s="498"/>
      <x:c r="M640" s="498"/>
    </x:row>
    <x:row r="641" ht="18" customHeight="1">
      <x:c r="A641" s="498"/>
      <x:c r="B641" s="498"/>
      <x:c r="C641" s="498"/>
      <x:c r="D641" s="498"/>
      <x:c r="E641" s="498"/>
      <x:c r="F641" s="498"/>
      <x:c r="G641" s="498"/>
      <x:c r="H641" s="498"/>
      <x:c r="I641" s="498"/>
      <x:c r="J641" s="498"/>
      <x:c r="K641" s="498"/>
      <x:c r="L641" s="498"/>
      <x:c r="M641" s="498"/>
    </x:row>
    <x:row r="642" ht="18" customHeight="1">
      <x:c r="A642" s="498"/>
      <x:c r="B642" s="498"/>
      <x:c r="C642" s="498"/>
      <x:c r="D642" s="498"/>
      <x:c r="E642" s="498"/>
      <x:c r="F642" s="498"/>
      <x:c r="G642" s="498"/>
      <x:c r="H642" s="498"/>
      <x:c r="I642" s="498"/>
      <x:c r="J642" s="498"/>
      <x:c r="K642" s="498"/>
      <x:c r="L642" s="498"/>
      <x:c r="M642" s="498"/>
    </x:row>
    <x:row r="643" ht="18" customHeight="1">
      <x:c r="A643" s="498"/>
      <x:c r="B643" s="498"/>
      <x:c r="C643" s="498"/>
      <x:c r="D643" s="498"/>
      <x:c r="E643" s="498"/>
      <x:c r="F643" s="498"/>
      <x:c r="G643" s="498"/>
      <x:c r="H643" s="498"/>
      <x:c r="I643" s="498"/>
      <x:c r="J643" s="498"/>
      <x:c r="K643" s="498"/>
      <x:c r="L643" s="498"/>
      <x:c r="M643" s="498"/>
    </x:row>
    <x:row r="644" ht="18" customHeight="1">
      <x:c r="A644" s="498"/>
      <x:c r="B644" s="498"/>
      <x:c r="C644" s="498"/>
      <x:c r="D644" s="498"/>
      <x:c r="E644" s="498"/>
      <x:c r="F644" s="498"/>
      <x:c r="G644" s="498"/>
      <x:c r="H644" s="498"/>
      <x:c r="I644" s="498"/>
      <x:c r="J644" s="498"/>
      <x:c r="K644" s="498"/>
      <x:c r="L644" s="498"/>
      <x:c r="M644" s="498"/>
    </x:row>
    <x:row r="645" ht="18" customHeight="1">
      <x:c r="A645" s="498"/>
      <x:c r="B645" s="498"/>
      <x:c r="C645" s="498"/>
      <x:c r="D645" s="498"/>
      <x:c r="E645" s="498"/>
      <x:c r="F645" s="498"/>
      <x:c r="G645" s="498"/>
      <x:c r="H645" s="498"/>
      <x:c r="I645" s="498"/>
      <x:c r="J645" s="498"/>
      <x:c r="K645" s="498"/>
      <x:c r="L645" s="498"/>
      <x:c r="M645" s="498"/>
    </x:row>
    <x:row r="646" ht="18" customHeight="1">
      <x:c r="A646" s="498"/>
      <x:c r="B646" s="498"/>
      <x:c r="C646" s="498"/>
      <x:c r="D646" s="498"/>
      <x:c r="E646" s="498"/>
      <x:c r="F646" s="498"/>
      <x:c r="G646" s="498"/>
      <x:c r="H646" s="498"/>
      <x:c r="I646" s="498"/>
      <x:c r="J646" s="498"/>
      <x:c r="K646" s="498"/>
      <x:c r="L646" s="498"/>
      <x:c r="M646" s="498"/>
    </x:row>
    <x:row r="647" ht="18" customHeight="1">
      <x:c r="A647" s="498"/>
      <x:c r="B647" s="498"/>
      <x:c r="C647" s="498"/>
      <x:c r="D647" s="498"/>
      <x:c r="E647" s="498"/>
      <x:c r="F647" s="498"/>
      <x:c r="G647" s="498"/>
      <x:c r="H647" s="498"/>
      <x:c r="I647" s="498"/>
      <x:c r="J647" s="498"/>
      <x:c r="K647" s="498"/>
      <x:c r="L647" s="498"/>
      <x:c r="M647" s="498"/>
    </x:row>
    <x:row r="648" ht="18" customHeight="1">
      <x:c r="A648" s="498"/>
      <x:c r="B648" s="498"/>
      <x:c r="C648" s="498"/>
      <x:c r="D648" s="498"/>
      <x:c r="E648" s="498"/>
      <x:c r="F648" s="498"/>
      <x:c r="G648" s="498"/>
      <x:c r="H648" s="498"/>
      <x:c r="I648" s="498"/>
      <x:c r="J648" s="498"/>
      <x:c r="K648" s="498"/>
      <x:c r="L648" s="498"/>
      <x:c r="M648" s="498"/>
    </x:row>
    <x:row r="649" ht="18" customHeight="1">
      <x:c r="A649" s="498"/>
      <x:c r="B649" s="498"/>
      <x:c r="C649" s="498"/>
      <x:c r="D649" s="498"/>
      <x:c r="E649" s="498"/>
      <x:c r="F649" s="498"/>
      <x:c r="G649" s="498"/>
      <x:c r="H649" s="498"/>
      <x:c r="I649" s="498"/>
      <x:c r="J649" s="498"/>
      <x:c r="K649" s="498"/>
      <x:c r="L649" s="498"/>
      <x:c r="M649" s="498"/>
    </x:row>
    <x:row r="650" ht="18" customHeight="1">
      <x:c r="A650" s="498"/>
      <x:c r="B650" s="498"/>
      <x:c r="C650" s="498"/>
      <x:c r="D650" s="498"/>
      <x:c r="E650" s="498"/>
      <x:c r="F650" s="498"/>
      <x:c r="G650" s="498"/>
      <x:c r="H650" s="498"/>
      <x:c r="I650" s="498"/>
      <x:c r="J650" s="498"/>
      <x:c r="K650" s="498"/>
      <x:c r="L650" s="498"/>
      <x:c r="M650" s="498"/>
    </x:row>
    <x:row r="651" ht="18" customHeight="1">
      <x:c r="A651" s="498"/>
      <x:c r="B651" s="498"/>
      <x:c r="C651" s="498"/>
      <x:c r="D651" s="498"/>
      <x:c r="E651" s="498"/>
      <x:c r="F651" s="498"/>
      <x:c r="G651" s="498"/>
      <x:c r="H651" s="498"/>
      <x:c r="I651" s="498"/>
      <x:c r="J651" s="498"/>
      <x:c r="K651" s="498"/>
      <x:c r="L651" s="498"/>
      <x:c r="M651" s="498"/>
    </x:row>
    <x:row r="652" ht="18" customHeight="1">
      <x:c r="A652" s="498"/>
      <x:c r="B652" s="498"/>
      <x:c r="C652" s="498"/>
      <x:c r="D652" s="498"/>
      <x:c r="E652" s="498"/>
      <x:c r="F652" s="498"/>
      <x:c r="G652" s="498"/>
      <x:c r="H652" s="498"/>
      <x:c r="I652" s="498"/>
      <x:c r="J652" s="498"/>
      <x:c r="K652" s="498"/>
      <x:c r="L652" s="498"/>
      <x:c r="M652" s="498"/>
    </x:row>
    <x:row r="653" ht="18" customHeight="1">
      <x:c r="A653" s="498"/>
      <x:c r="B653" s="498"/>
      <x:c r="C653" s="498"/>
      <x:c r="D653" s="498"/>
      <x:c r="E653" s="498"/>
      <x:c r="F653" s="498"/>
      <x:c r="G653" s="498"/>
      <x:c r="H653" s="498"/>
      <x:c r="I653" s="498"/>
      <x:c r="J653" s="498"/>
      <x:c r="K653" s="498"/>
      <x:c r="L653" s="498"/>
      <x:c r="M653" s="498"/>
    </x:row>
    <x:row r="654" ht="18" customHeight="1">
      <x:c r="A654" s="498"/>
      <x:c r="B654" s="498"/>
      <x:c r="C654" s="498"/>
      <x:c r="D654" s="498"/>
      <x:c r="E654" s="498"/>
      <x:c r="F654" s="498"/>
      <x:c r="G654" s="498"/>
      <x:c r="H654" s="498"/>
      <x:c r="I654" s="498"/>
      <x:c r="J654" s="498"/>
      <x:c r="K654" s="498"/>
      <x:c r="L654" s="498"/>
      <x:c r="M654" s="498"/>
    </x:row>
    <x:row r="655" ht="18" customHeight="1">
      <x:c r="A655" s="498"/>
      <x:c r="B655" s="498"/>
      <x:c r="C655" s="498"/>
      <x:c r="D655" s="498"/>
      <x:c r="E655" s="498"/>
      <x:c r="F655" s="498"/>
      <x:c r="G655" s="498"/>
      <x:c r="H655" s="498"/>
      <x:c r="I655" s="498"/>
      <x:c r="J655" s="498"/>
      <x:c r="K655" s="498"/>
      <x:c r="L655" s="498"/>
      <x:c r="M655" s="498"/>
    </x:row>
    <x:row r="656" ht="18" customHeight="1">
      <x:c r="A656" s="498"/>
      <x:c r="B656" s="498"/>
      <x:c r="C656" s="498"/>
      <x:c r="D656" s="498"/>
      <x:c r="E656" s="498"/>
      <x:c r="F656" s="498"/>
      <x:c r="G656" s="498"/>
      <x:c r="H656" s="498"/>
      <x:c r="I656" s="498"/>
      <x:c r="J656" s="498"/>
      <x:c r="K656" s="498"/>
      <x:c r="L656" s="498"/>
      <x:c r="M656" s="498"/>
    </x:row>
    <x:row r="657" ht="18" customHeight="1">
      <x:c r="A657" s="498"/>
      <x:c r="B657" s="498"/>
      <x:c r="C657" s="498"/>
      <x:c r="D657" s="498"/>
      <x:c r="E657" s="498"/>
      <x:c r="F657" s="498"/>
      <x:c r="G657" s="498"/>
      <x:c r="H657" s="498"/>
      <x:c r="I657" s="498"/>
      <x:c r="J657" s="498"/>
      <x:c r="K657" s="498"/>
      <x:c r="L657" s="498"/>
      <x:c r="M657" s="498"/>
    </x:row>
    <x:row r="658" ht="18" customHeight="1">
      <x:c r="A658" s="498"/>
      <x:c r="B658" s="498"/>
      <x:c r="C658" s="498"/>
      <x:c r="D658" s="498"/>
      <x:c r="E658" s="498"/>
      <x:c r="F658" s="498"/>
      <x:c r="G658" s="498"/>
      <x:c r="H658" s="498"/>
      <x:c r="I658" s="498"/>
      <x:c r="J658" s="498"/>
      <x:c r="K658" s="498"/>
      <x:c r="L658" s="498"/>
      <x:c r="M658" s="498"/>
    </x:row>
    <x:row r="659" ht="18" customHeight="1">
      <x:c r="A659" s="498"/>
      <x:c r="B659" s="498"/>
      <x:c r="C659" s="498"/>
      <x:c r="D659" s="498"/>
      <x:c r="E659" s="498"/>
      <x:c r="F659" s="498"/>
      <x:c r="G659" s="498"/>
      <x:c r="H659" s="498"/>
      <x:c r="I659" s="498"/>
      <x:c r="J659" s="498"/>
      <x:c r="K659" s="498"/>
      <x:c r="L659" s="498"/>
      <x:c r="M659" s="498"/>
    </x:row>
    <x:row r="660" ht="18" customHeight="1">
      <x:c r="A660" s="498"/>
      <x:c r="B660" s="498"/>
      <x:c r="C660" s="498"/>
      <x:c r="D660" s="498"/>
      <x:c r="E660" s="498"/>
      <x:c r="F660" s="498"/>
      <x:c r="G660" s="498"/>
      <x:c r="H660" s="498"/>
      <x:c r="I660" s="498"/>
      <x:c r="J660" s="498"/>
      <x:c r="K660" s="498"/>
      <x:c r="L660" s="498"/>
      <x:c r="M660" s="498"/>
    </x:row>
    <x:row r="661" ht="18" customHeight="1">
      <x:c r="A661" s="498"/>
      <x:c r="B661" s="498"/>
      <x:c r="C661" s="498"/>
      <x:c r="D661" s="498"/>
      <x:c r="E661" s="498"/>
      <x:c r="F661" s="498"/>
      <x:c r="G661" s="498"/>
      <x:c r="H661" s="498"/>
      <x:c r="I661" s="498"/>
      <x:c r="J661" s="498"/>
      <x:c r="K661" s="498"/>
      <x:c r="L661" s="498"/>
      <x:c r="M661" s="498"/>
    </x:row>
    <x:row r="662" ht="18" customHeight="1">
      <x:c r="A662" s="498"/>
      <x:c r="B662" s="498"/>
      <x:c r="C662" s="498"/>
      <x:c r="D662" s="498"/>
      <x:c r="E662" s="498"/>
      <x:c r="F662" s="498"/>
      <x:c r="G662" s="498"/>
      <x:c r="H662" s="498"/>
      <x:c r="I662" s="498"/>
      <x:c r="J662" s="498"/>
      <x:c r="K662" s="498"/>
      <x:c r="L662" s="498"/>
      <x:c r="M662" s="498"/>
    </x:row>
    <x:row r="663" ht="18" customHeight="1">
      <x:c r="A663" s="498"/>
      <x:c r="B663" s="498"/>
      <x:c r="C663" s="498"/>
      <x:c r="D663" s="498"/>
      <x:c r="E663" s="498"/>
      <x:c r="F663" s="498"/>
      <x:c r="G663" s="498"/>
      <x:c r="H663" s="498"/>
      <x:c r="I663" s="498"/>
      <x:c r="J663" s="498"/>
      <x:c r="K663" s="498"/>
      <x:c r="L663" s="498"/>
      <x:c r="M663" s="498"/>
    </x:row>
    <x:row r="664" ht="18" customHeight="1">
      <x:c r="A664" s="498"/>
      <x:c r="B664" s="498"/>
      <x:c r="C664" s="498"/>
      <x:c r="D664" s="498"/>
      <x:c r="E664" s="498"/>
      <x:c r="F664" s="498"/>
      <x:c r="G664" s="498"/>
      <x:c r="H664" s="498"/>
      <x:c r="I664" s="498"/>
      <x:c r="J664" s="498"/>
      <x:c r="K664" s="498"/>
      <x:c r="L664" s="498"/>
      <x:c r="M664" s="498"/>
    </x:row>
    <x:row r="665" ht="18" customHeight="1">
      <x:c r="A665" s="498"/>
      <x:c r="B665" s="498"/>
      <x:c r="C665" s="498"/>
      <x:c r="D665" s="498"/>
      <x:c r="E665" s="498"/>
      <x:c r="F665" s="498"/>
      <x:c r="G665" s="498"/>
      <x:c r="H665" s="498"/>
      <x:c r="I665" s="498"/>
      <x:c r="J665" s="498"/>
      <x:c r="K665" s="498"/>
      <x:c r="L665" s="498"/>
      <x:c r="M665" s="498"/>
    </x:row>
    <x:row r="666" ht="18" customHeight="1">
      <x:c r="A666" s="498"/>
      <x:c r="B666" s="498"/>
      <x:c r="C666" s="498"/>
      <x:c r="D666" s="498"/>
      <x:c r="E666" s="498"/>
      <x:c r="F666" s="498"/>
      <x:c r="G666" s="498"/>
      <x:c r="H666" s="498"/>
      <x:c r="I666" s="498"/>
      <x:c r="J666" s="498"/>
      <x:c r="K666" s="498"/>
      <x:c r="L666" s="498"/>
      <x:c r="M666" s="498"/>
    </x:row>
    <x:row r="667" ht="18" customHeight="1">
      <x:c r="A667" s="498"/>
      <x:c r="B667" s="498"/>
      <x:c r="C667" s="498"/>
      <x:c r="D667" s="498"/>
      <x:c r="E667" s="498"/>
      <x:c r="F667" s="498"/>
      <x:c r="G667" s="498"/>
      <x:c r="H667" s="498"/>
      <x:c r="I667" s="498"/>
      <x:c r="J667" s="498"/>
      <x:c r="K667" s="498"/>
      <x:c r="L667" s="498"/>
      <x:c r="M667" s="498"/>
    </x:row>
    <x:row r="668" ht="18" customHeight="1">
      <x:c r="A668" s="498"/>
      <x:c r="B668" s="498"/>
      <x:c r="C668" s="498"/>
      <x:c r="D668" s="498"/>
      <x:c r="E668" s="498"/>
      <x:c r="F668" s="498"/>
      <x:c r="G668" s="498"/>
      <x:c r="H668" s="498"/>
      <x:c r="I668" s="498"/>
      <x:c r="J668" s="498"/>
      <x:c r="K668" s="498"/>
      <x:c r="L668" s="498"/>
      <x:c r="M668" s="498"/>
    </x:row>
    <x:row r="669" ht="18" customHeight="1">
      <x:c r="A669" s="498"/>
      <x:c r="B669" s="498"/>
      <x:c r="C669" s="498"/>
      <x:c r="D669" s="498"/>
      <x:c r="E669" s="498"/>
      <x:c r="F669" s="498"/>
      <x:c r="G669" s="498"/>
      <x:c r="H669" s="498"/>
      <x:c r="I669" s="498"/>
      <x:c r="J669" s="498"/>
      <x:c r="K669" s="498"/>
      <x:c r="L669" s="498"/>
      <x:c r="M669" s="498"/>
    </x:row>
    <x:row r="670" ht="18" customHeight="1">
      <x:c r="A670" s="498"/>
      <x:c r="B670" s="498"/>
      <x:c r="C670" s="498"/>
      <x:c r="D670" s="498"/>
      <x:c r="E670" s="498"/>
      <x:c r="F670" s="498"/>
      <x:c r="G670" s="498"/>
      <x:c r="H670" s="498"/>
      <x:c r="I670" s="498"/>
      <x:c r="J670" s="498"/>
      <x:c r="K670" s="498"/>
      <x:c r="L670" s="498"/>
      <x:c r="M670" s="498"/>
    </x:row>
    <x:row r="671" ht="18" customHeight="1">
      <x:c r="A671" s="498"/>
      <x:c r="B671" s="498"/>
      <x:c r="C671" s="498"/>
      <x:c r="D671" s="498"/>
      <x:c r="E671" s="498"/>
      <x:c r="F671" s="498"/>
      <x:c r="G671" s="498"/>
      <x:c r="H671" s="498"/>
      <x:c r="I671" s="498"/>
      <x:c r="J671" s="498"/>
      <x:c r="K671" s="498"/>
      <x:c r="L671" s="498"/>
      <x:c r="M671" s="498"/>
    </x:row>
    <x:row r="672" ht="18" customHeight="1">
      <x:c r="A672" s="498"/>
      <x:c r="B672" s="498"/>
      <x:c r="C672" s="498"/>
      <x:c r="D672" s="498"/>
      <x:c r="E672" s="498"/>
      <x:c r="F672" s="498"/>
      <x:c r="G672" s="498"/>
      <x:c r="H672" s="498"/>
      <x:c r="I672" s="498"/>
      <x:c r="J672" s="498"/>
      <x:c r="K672" s="498"/>
      <x:c r="L672" s="498"/>
      <x:c r="M672" s="498"/>
    </x:row>
    <x:row r="673" ht="18" customHeight="1">
      <x:c r="A673" s="498"/>
      <x:c r="B673" s="498"/>
      <x:c r="C673" s="498"/>
      <x:c r="D673" s="498"/>
      <x:c r="E673" s="498"/>
      <x:c r="F673" s="498"/>
      <x:c r="G673" s="498"/>
      <x:c r="H673" s="498"/>
      <x:c r="I673" s="498"/>
      <x:c r="J673" s="498"/>
      <x:c r="K673" s="498"/>
      <x:c r="L673" s="498"/>
      <x:c r="M673" s="498"/>
    </x:row>
    <x:row r="674" ht="18" customHeight="1">
      <x:c r="A674" s="498"/>
      <x:c r="B674" s="498"/>
      <x:c r="C674" s="498"/>
      <x:c r="D674" s="498"/>
      <x:c r="E674" s="498"/>
      <x:c r="F674" s="498"/>
      <x:c r="G674" s="498"/>
      <x:c r="H674" s="498"/>
      <x:c r="I674" s="498"/>
      <x:c r="J674" s="498"/>
      <x:c r="K674" s="498"/>
      <x:c r="L674" s="498"/>
      <x:c r="M674" s="498"/>
    </x:row>
    <x:row r="675" ht="18" customHeight="1">
      <x:c r="A675" s="498"/>
      <x:c r="B675" s="498"/>
      <x:c r="C675" s="498"/>
      <x:c r="D675" s="498"/>
      <x:c r="E675" s="498"/>
      <x:c r="F675" s="498"/>
      <x:c r="G675" s="498"/>
      <x:c r="H675" s="498"/>
      <x:c r="I675" s="498"/>
      <x:c r="J675" s="498"/>
      <x:c r="K675" s="498"/>
      <x:c r="L675" s="498"/>
      <x:c r="M675" s="498"/>
    </x:row>
    <x:row r="676" ht="18" customHeight="1">
      <x:c r="A676" s="498"/>
      <x:c r="B676" s="498"/>
      <x:c r="C676" s="498"/>
      <x:c r="D676" s="498"/>
      <x:c r="E676" s="498"/>
      <x:c r="F676" s="498"/>
      <x:c r="G676" s="498"/>
      <x:c r="H676" s="498"/>
      <x:c r="I676" s="498"/>
      <x:c r="J676" s="498"/>
      <x:c r="K676" s="498"/>
      <x:c r="L676" s="498"/>
      <x:c r="M676" s="498"/>
    </x:row>
    <x:row r="677" ht="18" customHeight="1">
      <x:c r="A677" s="498"/>
      <x:c r="B677" s="498"/>
      <x:c r="C677" s="498"/>
      <x:c r="D677" s="498"/>
      <x:c r="E677" s="498"/>
      <x:c r="F677" s="498"/>
      <x:c r="G677" s="498"/>
      <x:c r="H677" s="498"/>
      <x:c r="I677" s="498"/>
      <x:c r="J677" s="498"/>
      <x:c r="K677" s="498"/>
      <x:c r="L677" s="498"/>
      <x:c r="M677" s="498"/>
    </x:row>
    <x:row r="678" ht="18" customHeight="1">
      <x:c r="A678" s="498"/>
      <x:c r="B678" s="498"/>
      <x:c r="C678" s="498"/>
      <x:c r="D678" s="498"/>
      <x:c r="E678" s="498"/>
      <x:c r="F678" s="498"/>
      <x:c r="G678" s="498"/>
      <x:c r="H678" s="498"/>
      <x:c r="I678" s="498"/>
      <x:c r="J678" s="498"/>
      <x:c r="K678" s="498"/>
      <x:c r="L678" s="498"/>
      <x:c r="M678" s="498"/>
    </x:row>
    <x:row r="679" ht="18" customHeight="1">
      <x:c r="A679" s="498"/>
      <x:c r="B679" s="498"/>
      <x:c r="C679" s="498"/>
      <x:c r="D679" s="498"/>
      <x:c r="E679" s="498"/>
      <x:c r="F679" s="498"/>
      <x:c r="G679" s="498"/>
      <x:c r="H679" s="498"/>
      <x:c r="I679" s="498"/>
      <x:c r="J679" s="498"/>
      <x:c r="K679" s="498"/>
      <x:c r="L679" s="498"/>
      <x:c r="M679" s="498"/>
    </x:row>
    <x:row r="680" ht="18" customHeight="1">
      <x:c r="A680" s="498"/>
      <x:c r="B680" s="498"/>
      <x:c r="C680" s="498"/>
      <x:c r="D680" s="498"/>
      <x:c r="E680" s="498"/>
      <x:c r="F680" s="498"/>
      <x:c r="G680" s="498"/>
      <x:c r="H680" s="498"/>
      <x:c r="I680" s="498"/>
      <x:c r="J680" s="498"/>
      <x:c r="K680" s="498"/>
      <x:c r="L680" s="498"/>
      <x:c r="M680" s="498"/>
    </x:row>
    <x:row r="681" ht="18" customHeight="1">
      <x:c r="A681" s="498"/>
      <x:c r="B681" s="498"/>
      <x:c r="C681" s="498"/>
      <x:c r="D681" s="498"/>
      <x:c r="E681" s="498"/>
      <x:c r="F681" s="498"/>
      <x:c r="G681" s="498"/>
      <x:c r="H681" s="498"/>
      <x:c r="I681" s="498"/>
      <x:c r="J681" s="498"/>
      <x:c r="K681" s="498"/>
      <x:c r="L681" s="498"/>
      <x:c r="M681" s="498"/>
    </x:row>
    <x:row r="682" ht="18" customHeight="1">
      <x:c r="A682" s="498"/>
      <x:c r="B682" s="498"/>
      <x:c r="C682" s="498"/>
      <x:c r="D682" s="498"/>
      <x:c r="E682" s="498"/>
      <x:c r="F682" s="498"/>
      <x:c r="G682" s="498"/>
      <x:c r="H682" s="498"/>
      <x:c r="I682" s="498"/>
      <x:c r="J682" s="498"/>
      <x:c r="K682" s="498"/>
      <x:c r="L682" s="498"/>
      <x:c r="M682" s="498"/>
    </x:row>
    <x:row r="683" ht="18" customHeight="1">
      <x:c r="A683" s="498"/>
      <x:c r="B683" s="498"/>
      <x:c r="C683" s="498"/>
      <x:c r="D683" s="498"/>
      <x:c r="E683" s="498"/>
      <x:c r="F683" s="498"/>
      <x:c r="G683" s="498"/>
      <x:c r="H683" s="498"/>
      <x:c r="I683" s="498"/>
      <x:c r="J683" s="498"/>
      <x:c r="K683" s="498"/>
      <x:c r="L683" s="498"/>
      <x:c r="M683" s="498"/>
    </x:row>
    <x:row r="684" ht="18" customHeight="1">
      <x:c r="A684" s="498"/>
      <x:c r="B684" s="498"/>
      <x:c r="C684" s="498"/>
      <x:c r="D684" s="498"/>
      <x:c r="E684" s="498"/>
      <x:c r="F684" s="498"/>
      <x:c r="G684" s="498"/>
      <x:c r="H684" s="498"/>
      <x:c r="I684" s="498"/>
      <x:c r="J684" s="498"/>
      <x:c r="K684" s="498"/>
      <x:c r="L684" s="498"/>
      <x:c r="M684" s="498"/>
    </x:row>
    <x:row r="685" ht="18" customHeight="1">
      <x:c r="A685" s="498"/>
      <x:c r="B685" s="498"/>
      <x:c r="C685" s="498"/>
      <x:c r="D685" s="498"/>
      <x:c r="E685" s="498"/>
      <x:c r="F685" s="498"/>
      <x:c r="G685" s="498"/>
      <x:c r="H685" s="498"/>
      <x:c r="I685" s="498"/>
      <x:c r="J685" s="498"/>
      <x:c r="K685" s="498"/>
      <x:c r="L685" s="498"/>
      <x:c r="M685" s="498"/>
    </x:row>
    <x:row r="686" ht="18" customHeight="1">
      <x:c r="A686" s="498"/>
      <x:c r="B686" s="498"/>
      <x:c r="C686" s="498"/>
      <x:c r="D686" s="498"/>
      <x:c r="E686" s="498"/>
      <x:c r="F686" s="498"/>
      <x:c r="G686" s="498"/>
      <x:c r="H686" s="498"/>
      <x:c r="I686" s="498"/>
      <x:c r="J686" s="498"/>
      <x:c r="K686" s="498"/>
      <x:c r="L686" s="498"/>
      <x:c r="M686" s="498"/>
    </x:row>
    <x:row r="687" ht="18" customHeight="1">
      <x:c r="A687" s="498"/>
      <x:c r="B687" s="498"/>
      <x:c r="C687" s="498"/>
      <x:c r="D687" s="498"/>
      <x:c r="E687" s="498"/>
      <x:c r="F687" s="498"/>
      <x:c r="G687" s="498"/>
      <x:c r="H687" s="498"/>
      <x:c r="I687" s="498"/>
      <x:c r="J687" s="498"/>
      <x:c r="K687" s="498"/>
      <x:c r="L687" s="498"/>
      <x:c r="M687" s="498"/>
    </x:row>
    <x:row r="688" ht="18" customHeight="1">
      <x:c r="A688" s="498"/>
      <x:c r="B688" s="498"/>
      <x:c r="C688" s="498"/>
      <x:c r="D688" s="498"/>
      <x:c r="E688" s="498"/>
      <x:c r="F688" s="498"/>
      <x:c r="G688" s="498"/>
      <x:c r="H688" s="498"/>
      <x:c r="I688" s="498"/>
      <x:c r="J688" s="498"/>
      <x:c r="K688" s="498"/>
      <x:c r="L688" s="498"/>
      <x:c r="M688" s="498"/>
    </x:row>
    <x:row r="689" ht="18" customHeight="1">
      <x:c r="A689" s="498"/>
      <x:c r="B689" s="498"/>
      <x:c r="C689" s="498"/>
      <x:c r="D689" s="498"/>
      <x:c r="E689" s="498"/>
      <x:c r="F689" s="498"/>
      <x:c r="G689" s="498"/>
      <x:c r="H689" s="498"/>
      <x:c r="I689" s="498"/>
      <x:c r="J689" s="498"/>
      <x:c r="K689" s="498"/>
      <x:c r="L689" s="498"/>
      <x:c r="M689" s="498"/>
    </x:row>
    <x:row r="690" ht="18" customHeight="1">
      <x:c r="A690" s="498"/>
      <x:c r="B690" s="498"/>
      <x:c r="C690" s="498"/>
      <x:c r="D690" s="498"/>
      <x:c r="E690" s="498"/>
      <x:c r="F690" s="498"/>
      <x:c r="G690" s="498"/>
      <x:c r="H690" s="498"/>
      <x:c r="I690" s="498"/>
      <x:c r="J690" s="498"/>
      <x:c r="K690" s="498"/>
      <x:c r="L690" s="498"/>
      <x:c r="M690" s="498"/>
    </x:row>
    <x:row r="691" ht="18" customHeight="1">
      <x:c r="A691" s="498"/>
      <x:c r="B691" s="498"/>
      <x:c r="C691" s="498"/>
      <x:c r="D691" s="498"/>
      <x:c r="E691" s="498"/>
      <x:c r="F691" s="498"/>
      <x:c r="G691" s="498"/>
      <x:c r="H691" s="498"/>
      <x:c r="I691" s="498"/>
      <x:c r="J691" s="498"/>
      <x:c r="K691" s="498"/>
      <x:c r="L691" s="498"/>
      <x:c r="M691" s="498"/>
    </x:row>
    <x:row r="692" ht="18" customHeight="1">
      <x:c r="A692" s="498"/>
      <x:c r="B692" s="498"/>
      <x:c r="C692" s="498"/>
      <x:c r="D692" s="498"/>
      <x:c r="E692" s="498"/>
      <x:c r="F692" s="498"/>
      <x:c r="G692" s="498"/>
      <x:c r="H692" s="498"/>
      <x:c r="I692" s="498"/>
      <x:c r="J692" s="498"/>
      <x:c r="K692" s="498"/>
      <x:c r="L692" s="498"/>
      <x:c r="M692" s="498"/>
    </x:row>
    <x:row r="693" ht="18" customHeight="1">
      <x:c r="A693" s="498"/>
      <x:c r="B693" s="498"/>
      <x:c r="C693" s="498"/>
      <x:c r="D693" s="498"/>
      <x:c r="E693" s="498"/>
      <x:c r="F693" s="498"/>
      <x:c r="G693" s="498"/>
      <x:c r="H693" s="498"/>
      <x:c r="I693" s="498"/>
      <x:c r="J693" s="498"/>
      <x:c r="K693" s="498"/>
      <x:c r="L693" s="498"/>
      <x:c r="M693" s="498"/>
    </x:row>
    <x:row r="694" ht="18" customHeight="1">
      <x:c r="A694" s="498"/>
      <x:c r="B694" s="498"/>
      <x:c r="C694" s="498"/>
      <x:c r="D694" s="498"/>
      <x:c r="E694" s="498"/>
      <x:c r="F694" s="498"/>
      <x:c r="G694" s="498"/>
      <x:c r="H694" s="498"/>
      <x:c r="I694" s="498"/>
      <x:c r="J694" s="498"/>
      <x:c r="K694" s="498"/>
      <x:c r="L694" s="498"/>
      <x:c r="M694" s="498"/>
    </x:row>
    <x:row r="695" ht="18" customHeight="1">
      <x:c r="A695" s="498"/>
      <x:c r="B695" s="498"/>
      <x:c r="C695" s="498"/>
      <x:c r="D695" s="498"/>
      <x:c r="E695" s="498"/>
      <x:c r="F695" s="498"/>
      <x:c r="G695" s="498"/>
      <x:c r="H695" s="498"/>
      <x:c r="I695" s="498"/>
      <x:c r="J695" s="498"/>
      <x:c r="K695" s="498"/>
      <x:c r="L695" s="498"/>
      <x:c r="M695" s="498"/>
    </x:row>
    <x:row r="696" ht="18" customHeight="1">
      <x:c r="A696" s="498"/>
      <x:c r="B696" s="498"/>
      <x:c r="C696" s="498"/>
      <x:c r="D696" s="498"/>
      <x:c r="E696" s="498"/>
      <x:c r="F696" s="498"/>
      <x:c r="G696" s="498"/>
      <x:c r="H696" s="498"/>
      <x:c r="I696" s="498"/>
      <x:c r="J696" s="498"/>
      <x:c r="K696" s="498"/>
      <x:c r="L696" s="498"/>
      <x:c r="M696" s="498"/>
    </x:row>
    <x:row r="697" ht="18" customHeight="1">
      <x:c r="A697" s="498"/>
      <x:c r="B697" s="498"/>
      <x:c r="C697" s="498"/>
      <x:c r="D697" s="498"/>
      <x:c r="E697" s="498"/>
      <x:c r="F697" s="498"/>
      <x:c r="G697" s="498"/>
      <x:c r="H697" s="498"/>
      <x:c r="I697" s="498"/>
      <x:c r="J697" s="498"/>
      <x:c r="K697" s="498"/>
      <x:c r="L697" s="498"/>
      <x:c r="M697" s="498"/>
    </x:row>
    <x:row r="698" ht="18" customHeight="1">
      <x:c r="A698" s="498"/>
      <x:c r="B698" s="498"/>
      <x:c r="C698" s="498"/>
      <x:c r="D698" s="498"/>
      <x:c r="E698" s="498"/>
      <x:c r="F698" s="498"/>
      <x:c r="G698" s="498"/>
      <x:c r="H698" s="498"/>
      <x:c r="I698" s="498"/>
      <x:c r="J698" s="498"/>
      <x:c r="K698" s="498"/>
      <x:c r="L698" s="498"/>
      <x:c r="M698" s="498"/>
    </x:row>
    <x:row r="699" ht="18" customHeight="1">
      <x:c r="A699" s="498"/>
      <x:c r="B699" s="498"/>
      <x:c r="C699" s="498"/>
      <x:c r="D699" s="498"/>
      <x:c r="E699" s="498"/>
      <x:c r="F699" s="498"/>
      <x:c r="G699" s="498"/>
      <x:c r="H699" s="498"/>
      <x:c r="I699" s="498"/>
      <x:c r="J699" s="498"/>
      <x:c r="K699" s="498"/>
      <x:c r="L699" s="498"/>
      <x:c r="M699" s="498"/>
    </x:row>
    <x:row r="700" ht="18" customHeight="1">
      <x:c r="A700" s="498"/>
      <x:c r="B700" s="498"/>
      <x:c r="C700" s="498"/>
      <x:c r="D700" s="498"/>
      <x:c r="E700" s="498"/>
      <x:c r="F700" s="498"/>
      <x:c r="G700" s="498"/>
      <x:c r="H700" s="498"/>
      <x:c r="I700" s="498"/>
      <x:c r="J700" s="498"/>
      <x:c r="K700" s="498"/>
      <x:c r="L700" s="498"/>
      <x:c r="M700" s="498"/>
    </x:row>
    <x:row r="701" ht="18" customHeight="1">
      <x:c r="A701" s="498"/>
      <x:c r="B701" s="498"/>
      <x:c r="C701" s="498"/>
      <x:c r="D701" s="498"/>
      <x:c r="E701" s="498"/>
      <x:c r="F701" s="498"/>
      <x:c r="G701" s="498"/>
      <x:c r="H701" s="498"/>
      <x:c r="I701" s="498"/>
      <x:c r="J701" s="498"/>
      <x:c r="K701" s="498"/>
      <x:c r="L701" s="498"/>
      <x:c r="M701" s="498"/>
    </x:row>
    <x:row r="702" ht="18" customHeight="1">
      <x:c r="A702" s="498"/>
      <x:c r="B702" s="498"/>
      <x:c r="C702" s="498"/>
      <x:c r="D702" s="498"/>
      <x:c r="E702" s="498"/>
      <x:c r="F702" s="498"/>
      <x:c r="G702" s="498"/>
      <x:c r="H702" s="498"/>
      <x:c r="I702" s="498"/>
      <x:c r="J702" s="498"/>
      <x:c r="K702" s="498"/>
      <x:c r="L702" s="498"/>
      <x:c r="M702" s="498"/>
    </x:row>
    <x:row r="703" ht="18" customHeight="1">
      <x:c r="A703" s="498"/>
      <x:c r="B703" s="498"/>
      <x:c r="C703" s="498"/>
      <x:c r="D703" s="498"/>
      <x:c r="E703" s="498"/>
      <x:c r="F703" s="498"/>
      <x:c r="G703" s="498"/>
      <x:c r="H703" s="498"/>
      <x:c r="I703" s="498"/>
      <x:c r="J703" s="498"/>
      <x:c r="K703" s="498"/>
      <x:c r="L703" s="498"/>
      <x:c r="M703" s="498"/>
    </x:row>
    <x:row r="704" ht="18" customHeight="1">
      <x:c r="A704" s="498"/>
      <x:c r="B704" s="498"/>
      <x:c r="C704" s="498"/>
      <x:c r="D704" s="498"/>
      <x:c r="E704" s="498"/>
      <x:c r="F704" s="498"/>
      <x:c r="G704" s="498"/>
      <x:c r="H704" s="498"/>
      <x:c r="I704" s="498"/>
      <x:c r="J704" s="498"/>
      <x:c r="K704" s="498"/>
      <x:c r="L704" s="498"/>
      <x:c r="M704" s="498"/>
    </x:row>
    <x:row r="705" ht="18" customHeight="1">
      <x:c r="A705" s="498"/>
      <x:c r="B705" s="498"/>
      <x:c r="C705" s="498"/>
      <x:c r="D705" s="498"/>
      <x:c r="E705" s="498"/>
      <x:c r="F705" s="498"/>
      <x:c r="G705" s="498"/>
      <x:c r="H705" s="498"/>
      <x:c r="I705" s="498"/>
      <x:c r="J705" s="498"/>
      <x:c r="K705" s="498"/>
      <x:c r="L705" s="498"/>
      <x:c r="M705" s="498"/>
    </x:row>
    <x:row r="706" ht="18" customHeight="1">
      <x:c r="A706" s="498"/>
      <x:c r="B706" s="498"/>
      <x:c r="C706" s="498"/>
      <x:c r="D706" s="498"/>
      <x:c r="E706" s="498"/>
      <x:c r="F706" s="498"/>
      <x:c r="G706" s="498"/>
      <x:c r="H706" s="498"/>
      <x:c r="I706" s="498"/>
      <x:c r="J706" s="498"/>
      <x:c r="K706" s="498"/>
      <x:c r="L706" s="498"/>
      <x:c r="M706" s="498"/>
    </x:row>
    <x:row r="707" ht="18" customHeight="1">
      <x:c r="A707" s="498"/>
      <x:c r="B707" s="498"/>
      <x:c r="C707" s="498"/>
      <x:c r="D707" s="498"/>
      <x:c r="E707" s="498"/>
      <x:c r="F707" s="498"/>
      <x:c r="G707" s="498"/>
      <x:c r="H707" s="498"/>
      <x:c r="I707" s="498"/>
      <x:c r="J707" s="498"/>
      <x:c r="K707" s="498"/>
      <x:c r="L707" s="498"/>
      <x:c r="M707" s="498"/>
    </x:row>
    <x:row r="708" ht="18" customHeight="1">
      <x:c r="A708" s="498"/>
      <x:c r="B708" s="498"/>
      <x:c r="C708" s="498"/>
      <x:c r="D708" s="498"/>
      <x:c r="E708" s="498"/>
      <x:c r="F708" s="498"/>
      <x:c r="G708" s="498"/>
      <x:c r="H708" s="498"/>
      <x:c r="I708" s="498"/>
      <x:c r="J708" s="498"/>
      <x:c r="K708" s="498"/>
      <x:c r="L708" s="498"/>
      <x:c r="M708" s="498"/>
    </x:row>
    <x:row r="709" ht="18" customHeight="1">
      <x:c r="A709" s="498"/>
      <x:c r="B709" s="498"/>
      <x:c r="C709" s="498"/>
      <x:c r="D709" s="498"/>
      <x:c r="E709" s="498"/>
      <x:c r="F709" s="498"/>
      <x:c r="G709" s="498"/>
      <x:c r="H709" s="498"/>
      <x:c r="I709" s="498"/>
      <x:c r="J709" s="498"/>
      <x:c r="K709" s="498"/>
      <x:c r="L709" s="498"/>
      <x:c r="M709" s="498"/>
    </x:row>
    <x:row r="710" ht="18" customHeight="1">
      <x:c r="A710" s="498"/>
      <x:c r="B710" s="498"/>
      <x:c r="C710" s="498"/>
      <x:c r="D710" s="498"/>
      <x:c r="E710" s="498"/>
      <x:c r="F710" s="498"/>
      <x:c r="G710" s="498"/>
      <x:c r="H710" s="498"/>
      <x:c r="I710" s="498"/>
      <x:c r="J710" s="498"/>
      <x:c r="K710" s="498"/>
      <x:c r="L710" s="498"/>
      <x:c r="M710" s="498"/>
    </x:row>
    <x:row r="711" ht="18" customHeight="1">
      <x:c r="A711" s="498"/>
      <x:c r="B711" s="498"/>
      <x:c r="C711" s="498"/>
      <x:c r="D711" s="498"/>
      <x:c r="E711" s="498"/>
      <x:c r="F711" s="498"/>
      <x:c r="G711" s="498"/>
      <x:c r="H711" s="498"/>
      <x:c r="I711" s="498"/>
      <x:c r="J711" s="498"/>
      <x:c r="K711" s="498"/>
      <x:c r="L711" s="498"/>
      <x:c r="M711" s="498"/>
    </x:row>
    <x:row r="712" ht="18" customHeight="1">
      <x:c r="A712" s="498"/>
      <x:c r="B712" s="498"/>
      <x:c r="C712" s="498"/>
      <x:c r="D712" s="498"/>
      <x:c r="E712" s="498"/>
      <x:c r="F712" s="498"/>
      <x:c r="G712" s="498"/>
      <x:c r="H712" s="498"/>
      <x:c r="I712" s="498"/>
      <x:c r="J712" s="498"/>
      <x:c r="K712" s="498"/>
      <x:c r="L712" s="498"/>
      <x:c r="M712" s="498"/>
    </x:row>
    <x:row r="713" ht="18" customHeight="1">
      <x:c r="A713" s="498"/>
      <x:c r="B713" s="498"/>
      <x:c r="C713" s="498"/>
      <x:c r="D713" s="498"/>
      <x:c r="E713" s="498"/>
      <x:c r="F713" s="498"/>
      <x:c r="G713" s="498"/>
      <x:c r="H713" s="498"/>
      <x:c r="I713" s="498"/>
      <x:c r="J713" s="498"/>
      <x:c r="K713" s="498"/>
      <x:c r="L713" s="498"/>
      <x:c r="M713" s="498"/>
    </x:row>
    <x:row r="714" ht="18" customHeight="1">
      <x:c r="A714" s="498"/>
      <x:c r="B714" s="498"/>
      <x:c r="C714" s="498"/>
      <x:c r="D714" s="498"/>
      <x:c r="E714" s="498"/>
      <x:c r="F714" s="498"/>
      <x:c r="G714" s="498"/>
      <x:c r="H714" s="498"/>
      <x:c r="I714" s="498"/>
      <x:c r="J714" s="498"/>
      <x:c r="K714" s="498"/>
      <x:c r="L714" s="498"/>
      <x:c r="M714" s="498"/>
    </x:row>
    <x:row r="715" ht="18" customHeight="1">
      <x:c r="A715" s="498"/>
      <x:c r="B715" s="498"/>
      <x:c r="C715" s="498"/>
      <x:c r="D715" s="498"/>
      <x:c r="E715" s="498"/>
      <x:c r="F715" s="498"/>
      <x:c r="G715" s="498"/>
      <x:c r="H715" s="498"/>
      <x:c r="I715" s="498"/>
      <x:c r="J715" s="498"/>
      <x:c r="K715" s="498"/>
      <x:c r="L715" s="498"/>
      <x:c r="M715" s="498"/>
    </x:row>
    <x:row r="716" ht="18" customHeight="1">
      <x:c r="A716" s="498"/>
      <x:c r="B716" s="498"/>
      <x:c r="C716" s="498"/>
      <x:c r="D716" s="498"/>
      <x:c r="E716" s="498"/>
      <x:c r="F716" s="498"/>
      <x:c r="G716" s="498"/>
      <x:c r="H716" s="498"/>
      <x:c r="I716" s="498"/>
      <x:c r="J716" s="498"/>
      <x:c r="K716" s="498"/>
      <x:c r="L716" s="498"/>
      <x:c r="M716" s="498"/>
    </x:row>
    <x:row r="717" ht="18" customHeight="1">
      <x:c r="A717" s="498"/>
      <x:c r="B717" s="498"/>
      <x:c r="C717" s="498"/>
      <x:c r="D717" s="498"/>
      <x:c r="E717" s="498"/>
      <x:c r="F717" s="498"/>
      <x:c r="G717" s="498"/>
      <x:c r="H717" s="498"/>
      <x:c r="I717" s="498"/>
      <x:c r="J717" s="498"/>
      <x:c r="K717" s="498"/>
      <x:c r="L717" s="498"/>
      <x:c r="M717" s="498"/>
    </x:row>
    <x:row r="718" ht="18" customHeight="1">
      <x:c r="A718" s="498"/>
      <x:c r="B718" s="498"/>
      <x:c r="C718" s="498"/>
      <x:c r="D718" s="498"/>
      <x:c r="E718" s="498"/>
      <x:c r="F718" s="498"/>
      <x:c r="G718" s="498"/>
      <x:c r="H718" s="498"/>
      <x:c r="I718" s="498"/>
      <x:c r="J718" s="498"/>
      <x:c r="K718" s="498"/>
      <x:c r="L718" s="498"/>
      <x:c r="M718" s="498"/>
    </x:row>
    <x:row r="719" ht="18" customHeight="1">
      <x:c r="A719" s="498"/>
      <x:c r="B719" s="498"/>
      <x:c r="C719" s="498"/>
      <x:c r="D719" s="498"/>
      <x:c r="E719" s="498"/>
      <x:c r="F719" s="498"/>
      <x:c r="G719" s="498"/>
      <x:c r="H719" s="498"/>
      <x:c r="I719" s="498"/>
      <x:c r="J719" s="498"/>
      <x:c r="K719" s="498"/>
      <x:c r="L719" s="498"/>
      <x:c r="M719" s="498"/>
    </x:row>
    <x:row r="720" ht="18" customHeight="1">
      <x:c r="A720" s="498"/>
      <x:c r="B720" s="498"/>
      <x:c r="C720" s="498"/>
      <x:c r="D720" s="498"/>
      <x:c r="E720" s="498"/>
      <x:c r="F720" s="498"/>
      <x:c r="G720" s="498"/>
      <x:c r="H720" s="498"/>
      <x:c r="I720" s="498"/>
      <x:c r="J720" s="498"/>
      <x:c r="K720" s="498"/>
      <x:c r="L720" s="498"/>
      <x:c r="M720" s="498"/>
    </x:row>
    <x:row r="721" ht="18" customHeight="1">
      <x:c r="A721" s="498"/>
      <x:c r="B721" s="498"/>
      <x:c r="C721" s="498"/>
      <x:c r="D721" s="498"/>
      <x:c r="E721" s="498"/>
      <x:c r="F721" s="498"/>
      <x:c r="G721" s="498"/>
      <x:c r="H721" s="498"/>
      <x:c r="I721" s="498"/>
      <x:c r="J721" s="498"/>
      <x:c r="K721" s="498"/>
      <x:c r="L721" s="498"/>
      <x:c r="M721" s="498"/>
    </x:row>
    <x:row r="722" ht="18" customHeight="1">
      <x:c r="A722" s="498"/>
      <x:c r="B722" s="498"/>
      <x:c r="C722" s="498"/>
      <x:c r="D722" s="498"/>
      <x:c r="E722" s="498"/>
      <x:c r="F722" s="498"/>
      <x:c r="G722" s="498"/>
      <x:c r="H722" s="498"/>
      <x:c r="I722" s="498"/>
      <x:c r="J722" s="498"/>
      <x:c r="K722" s="498"/>
      <x:c r="L722" s="498"/>
      <x:c r="M722" s="498"/>
    </x:row>
    <x:row r="723" ht="18" customHeight="1">
      <x:c r="A723" s="498"/>
      <x:c r="B723" s="498"/>
      <x:c r="C723" s="498"/>
      <x:c r="D723" s="498"/>
      <x:c r="E723" s="498"/>
      <x:c r="F723" s="498"/>
      <x:c r="G723" s="498"/>
      <x:c r="H723" s="498"/>
      <x:c r="I723" s="498"/>
      <x:c r="J723" s="498"/>
      <x:c r="K723" s="498"/>
      <x:c r="L723" s="498"/>
      <x:c r="M723" s="498"/>
    </x:row>
    <x:row r="724" ht="18" customHeight="1">
      <x:c r="A724" s="498"/>
      <x:c r="B724" s="498"/>
      <x:c r="C724" s="498"/>
      <x:c r="D724" s="498"/>
      <x:c r="E724" s="498"/>
      <x:c r="F724" s="498"/>
      <x:c r="G724" s="498"/>
      <x:c r="H724" s="498"/>
      <x:c r="I724" s="498"/>
      <x:c r="J724" s="498"/>
      <x:c r="K724" s="498"/>
      <x:c r="L724" s="498"/>
      <x:c r="M724" s="498"/>
    </x:row>
    <x:row r="725" ht="18" customHeight="1">
      <x:c r="A725" s="498"/>
      <x:c r="B725" s="498"/>
      <x:c r="C725" s="498"/>
      <x:c r="D725" s="498"/>
      <x:c r="E725" s="498"/>
      <x:c r="F725" s="498"/>
      <x:c r="G725" s="498"/>
      <x:c r="H725" s="498"/>
      <x:c r="I725" s="498"/>
      <x:c r="J725" s="498"/>
      <x:c r="K725" s="498"/>
      <x:c r="L725" s="498"/>
      <x:c r="M725" s="498"/>
    </x:row>
    <x:row r="726" ht="18" customHeight="1">
      <x:c r="A726" s="498"/>
      <x:c r="B726" s="498"/>
      <x:c r="C726" s="498"/>
      <x:c r="D726" s="498"/>
      <x:c r="E726" s="498"/>
      <x:c r="F726" s="498"/>
      <x:c r="G726" s="498"/>
      <x:c r="H726" s="498"/>
      <x:c r="I726" s="498"/>
      <x:c r="J726" s="498"/>
      <x:c r="K726" s="498"/>
      <x:c r="L726" s="498"/>
      <x:c r="M726" s="498"/>
    </x:row>
    <x:row r="727" ht="18" customHeight="1">
      <x:c r="A727" s="498"/>
      <x:c r="B727" s="498"/>
      <x:c r="C727" s="498"/>
      <x:c r="D727" s="498"/>
      <x:c r="E727" s="498"/>
      <x:c r="F727" s="498"/>
      <x:c r="G727" s="498"/>
      <x:c r="H727" s="498"/>
      <x:c r="I727" s="498"/>
      <x:c r="J727" s="498"/>
      <x:c r="K727" s="498"/>
      <x:c r="L727" s="498"/>
      <x:c r="M727" s="498"/>
    </x:row>
    <x:row r="728" ht="18" customHeight="1">
      <x:c r="A728" s="498"/>
      <x:c r="B728" s="498"/>
      <x:c r="C728" s="498"/>
      <x:c r="D728" s="498"/>
      <x:c r="E728" s="498"/>
      <x:c r="F728" s="498"/>
      <x:c r="G728" s="498"/>
      <x:c r="H728" s="498"/>
      <x:c r="I728" s="498"/>
      <x:c r="J728" s="498"/>
      <x:c r="K728" s="498"/>
      <x:c r="L728" s="498"/>
      <x:c r="M728" s="498"/>
    </x:row>
    <x:row r="729" ht="18" customHeight="1">
      <x:c r="A729" s="498"/>
      <x:c r="B729" s="498"/>
      <x:c r="C729" s="498"/>
      <x:c r="D729" s="498"/>
      <x:c r="E729" s="498"/>
      <x:c r="F729" s="498"/>
      <x:c r="G729" s="498"/>
      <x:c r="H729" s="498"/>
      <x:c r="I729" s="498"/>
      <x:c r="J729" s="498"/>
      <x:c r="K729" s="498"/>
      <x:c r="L729" s="498"/>
      <x:c r="M729" s="498"/>
    </x:row>
    <x:row r="730" ht="18" customHeight="1">
      <x:c r="A730" s="498"/>
      <x:c r="B730" s="498"/>
      <x:c r="C730" s="498"/>
      <x:c r="D730" s="498"/>
      <x:c r="E730" s="498"/>
      <x:c r="F730" s="498"/>
      <x:c r="G730" s="498"/>
      <x:c r="H730" s="498"/>
      <x:c r="I730" s="498"/>
      <x:c r="J730" s="498"/>
      <x:c r="K730" s="498"/>
      <x:c r="L730" s="498"/>
      <x:c r="M730" s="498"/>
    </x:row>
    <x:row r="731" ht="18" customHeight="1">
      <x:c r="A731" s="498"/>
      <x:c r="B731" s="498"/>
      <x:c r="C731" s="498"/>
      <x:c r="D731" s="498"/>
      <x:c r="E731" s="498"/>
      <x:c r="F731" s="498"/>
      <x:c r="G731" s="498"/>
      <x:c r="H731" s="498"/>
      <x:c r="I731" s="498"/>
      <x:c r="J731" s="498"/>
      <x:c r="K731" s="498"/>
      <x:c r="L731" s="498"/>
      <x:c r="M731" s="498"/>
    </x:row>
    <x:row r="732" ht="18" customHeight="1">
      <x:c r="A732" s="498"/>
      <x:c r="B732" s="498"/>
      <x:c r="C732" s="498"/>
      <x:c r="D732" s="498"/>
      <x:c r="E732" s="498"/>
      <x:c r="F732" s="498"/>
      <x:c r="G732" s="498"/>
      <x:c r="H732" s="498"/>
      <x:c r="I732" s="498"/>
      <x:c r="J732" s="498"/>
      <x:c r="K732" s="498"/>
      <x:c r="L732" s="498"/>
      <x:c r="M732" s="498"/>
    </x:row>
    <x:row r="733" ht="18" customHeight="1">
      <x:c r="A733" s="498"/>
      <x:c r="B733" s="498"/>
      <x:c r="C733" s="498"/>
      <x:c r="D733" s="498"/>
      <x:c r="E733" s="498"/>
      <x:c r="F733" s="498"/>
      <x:c r="G733" s="498"/>
      <x:c r="H733" s="498"/>
      <x:c r="I733" s="498"/>
      <x:c r="J733" s="498"/>
      <x:c r="K733" s="498"/>
      <x:c r="L733" s="498"/>
      <x:c r="M733" s="498"/>
    </x:row>
    <x:row r="734" ht="18" customHeight="1">
      <x:c r="A734" s="498"/>
      <x:c r="B734" s="498"/>
      <x:c r="C734" s="498"/>
      <x:c r="D734" s="498"/>
      <x:c r="E734" s="498"/>
      <x:c r="F734" s="498"/>
      <x:c r="G734" s="498"/>
      <x:c r="H734" s="498"/>
      <x:c r="I734" s="498"/>
      <x:c r="J734" s="498"/>
      <x:c r="K734" s="498"/>
      <x:c r="L734" s="498"/>
      <x:c r="M734" s="498"/>
    </x:row>
    <x:row r="735" ht="18" customHeight="1">
      <x:c r="A735" s="498"/>
      <x:c r="B735" s="498"/>
      <x:c r="C735" s="498"/>
      <x:c r="D735" s="498"/>
      <x:c r="E735" s="498"/>
      <x:c r="F735" s="498"/>
      <x:c r="G735" s="498"/>
      <x:c r="H735" s="498"/>
      <x:c r="I735" s="498"/>
      <x:c r="J735" s="498"/>
      <x:c r="K735" s="498"/>
      <x:c r="L735" s="498"/>
      <x:c r="M735" s="498"/>
    </x:row>
    <x:row r="736" ht="18" customHeight="1">
      <x:c r="A736" s="498"/>
      <x:c r="B736" s="498"/>
      <x:c r="C736" s="498"/>
      <x:c r="D736" s="498"/>
      <x:c r="E736" s="498"/>
      <x:c r="F736" s="498"/>
      <x:c r="G736" s="498"/>
      <x:c r="H736" s="498"/>
      <x:c r="I736" s="498"/>
      <x:c r="J736" s="498"/>
      <x:c r="K736" s="498"/>
      <x:c r="L736" s="498"/>
      <x:c r="M736" s="498"/>
    </x:row>
    <x:row r="737" ht="18" customHeight="1">
      <x:c r="A737" s="498"/>
      <x:c r="B737" s="498"/>
      <x:c r="C737" s="498"/>
      <x:c r="D737" s="498"/>
      <x:c r="E737" s="498"/>
      <x:c r="F737" s="498"/>
      <x:c r="G737" s="498"/>
      <x:c r="H737" s="498"/>
      <x:c r="I737" s="498"/>
      <x:c r="J737" s="498"/>
      <x:c r="K737" s="498"/>
      <x:c r="L737" s="498"/>
      <x:c r="M737" s="498"/>
    </x:row>
    <x:row r="738" ht="18" customHeight="1">
      <x:c r="A738" s="498"/>
      <x:c r="B738" s="498"/>
      <x:c r="C738" s="498"/>
      <x:c r="D738" s="498"/>
      <x:c r="E738" s="498"/>
      <x:c r="F738" s="498"/>
      <x:c r="G738" s="498"/>
      <x:c r="H738" s="498"/>
      <x:c r="I738" s="498"/>
      <x:c r="J738" s="498"/>
      <x:c r="K738" s="498"/>
      <x:c r="L738" s="498"/>
      <x:c r="M738" s="498"/>
    </x:row>
    <x:row r="739" ht="18" customHeight="1">
      <x:c r="A739" s="498"/>
      <x:c r="B739" s="498"/>
      <x:c r="C739" s="498"/>
      <x:c r="D739" s="498"/>
      <x:c r="E739" s="498"/>
      <x:c r="F739" s="498"/>
      <x:c r="G739" s="498"/>
      <x:c r="H739" s="498"/>
      <x:c r="I739" s="498"/>
      <x:c r="J739" s="498"/>
      <x:c r="K739" s="498"/>
      <x:c r="L739" s="498"/>
      <x:c r="M739" s="498"/>
    </x:row>
    <x:row r="740" ht="18" customHeight="1">
      <x:c r="A740" s="498"/>
      <x:c r="B740" s="498"/>
      <x:c r="C740" s="498"/>
      <x:c r="D740" s="498"/>
      <x:c r="E740" s="498"/>
      <x:c r="F740" s="498"/>
      <x:c r="G740" s="498"/>
      <x:c r="H740" s="498"/>
      <x:c r="I740" s="498"/>
      <x:c r="J740" s="498"/>
      <x:c r="K740" s="498"/>
      <x:c r="L740" s="498"/>
      <x:c r="M740" s="498"/>
    </x:row>
    <x:row r="741" ht="18" customHeight="1">
      <x:c r="A741" s="498"/>
      <x:c r="B741" s="498"/>
      <x:c r="C741" s="498"/>
      <x:c r="D741" s="498"/>
      <x:c r="E741" s="498"/>
      <x:c r="F741" s="498"/>
      <x:c r="G741" s="498"/>
      <x:c r="H741" s="498"/>
      <x:c r="I741" s="498"/>
      <x:c r="J741" s="498"/>
      <x:c r="K741" s="498"/>
      <x:c r="L741" s="498"/>
      <x:c r="M741" s="498"/>
    </x:row>
    <x:row r="742" ht="18" customHeight="1">
      <x:c r="A742" s="498"/>
      <x:c r="B742" s="498"/>
      <x:c r="C742" s="498"/>
      <x:c r="D742" s="498"/>
      <x:c r="E742" s="498"/>
      <x:c r="F742" s="498"/>
      <x:c r="G742" s="498"/>
      <x:c r="H742" s="498"/>
      <x:c r="I742" s="498"/>
      <x:c r="J742" s="498"/>
      <x:c r="K742" s="498"/>
      <x:c r="L742" s="498"/>
      <x:c r="M742" s="498"/>
    </x:row>
    <x:row r="743" ht="18" customHeight="1">
      <x:c r="A743" s="498"/>
      <x:c r="B743" s="498"/>
      <x:c r="C743" s="498"/>
      <x:c r="D743" s="498"/>
      <x:c r="E743" s="498"/>
      <x:c r="F743" s="498"/>
      <x:c r="G743" s="498"/>
      <x:c r="H743" s="498"/>
      <x:c r="I743" s="498"/>
      <x:c r="J743" s="498"/>
      <x:c r="K743" s="498"/>
      <x:c r="L743" s="498"/>
      <x:c r="M743" s="498"/>
    </x:row>
    <x:row r="744" ht="18" customHeight="1">
      <x:c r="A744" s="498"/>
      <x:c r="B744" s="498"/>
      <x:c r="C744" s="498"/>
      <x:c r="D744" s="498"/>
      <x:c r="E744" s="498"/>
      <x:c r="F744" s="498"/>
      <x:c r="G744" s="498"/>
      <x:c r="H744" s="498"/>
      <x:c r="I744" s="498"/>
      <x:c r="J744" s="498"/>
      <x:c r="K744" s="498"/>
      <x:c r="L744" s="498"/>
      <x:c r="M744" s="498"/>
    </x:row>
    <x:row r="745" ht="18" customHeight="1">
      <x:c r="A745" s="498"/>
      <x:c r="B745" s="498"/>
      <x:c r="C745" s="498"/>
      <x:c r="D745" s="498"/>
      <x:c r="E745" s="498"/>
      <x:c r="F745" s="498"/>
      <x:c r="G745" s="498"/>
      <x:c r="H745" s="498"/>
      <x:c r="I745" s="498"/>
      <x:c r="J745" s="498"/>
      <x:c r="K745" s="498"/>
      <x:c r="L745" s="498"/>
      <x:c r="M745" s="498"/>
    </x:row>
    <x:row r="746" ht="18" customHeight="1">
      <x:c r="A746" s="498"/>
      <x:c r="B746" s="498"/>
      <x:c r="C746" s="498"/>
      <x:c r="D746" s="498"/>
      <x:c r="E746" s="498"/>
      <x:c r="F746" s="498"/>
      <x:c r="G746" s="498"/>
      <x:c r="H746" s="498"/>
      <x:c r="I746" s="498"/>
      <x:c r="J746" s="498"/>
      <x:c r="K746" s="498"/>
      <x:c r="L746" s="498"/>
      <x:c r="M746" s="498"/>
    </x:row>
    <x:row r="747" ht="18" customHeight="1">
      <x:c r="A747" s="498"/>
      <x:c r="B747" s="498"/>
      <x:c r="C747" s="498"/>
      <x:c r="D747" s="498"/>
      <x:c r="E747" s="498"/>
      <x:c r="F747" s="498"/>
      <x:c r="G747" s="498"/>
      <x:c r="H747" s="498"/>
      <x:c r="I747" s="498"/>
      <x:c r="J747" s="498"/>
      <x:c r="K747" s="498"/>
      <x:c r="L747" s="498"/>
      <x:c r="M747" s="498"/>
    </x:row>
    <x:row r="748" ht="18" customHeight="1">
      <x:c r="A748" s="498"/>
      <x:c r="B748" s="498"/>
      <x:c r="C748" s="498"/>
      <x:c r="D748" s="498"/>
      <x:c r="E748" s="498"/>
      <x:c r="F748" s="498"/>
      <x:c r="G748" s="498"/>
      <x:c r="H748" s="498"/>
      <x:c r="I748" s="498"/>
      <x:c r="J748" s="498"/>
      <x:c r="K748" s="498"/>
      <x:c r="L748" s="498"/>
      <x:c r="M748" s="498"/>
    </x:row>
    <x:row r="749" ht="18" customHeight="1">
      <x:c r="A749" s="498"/>
      <x:c r="B749" s="498"/>
      <x:c r="C749" s="498"/>
      <x:c r="D749" s="498"/>
      <x:c r="E749" s="498"/>
      <x:c r="F749" s="498"/>
      <x:c r="G749" s="498"/>
      <x:c r="H749" s="498"/>
      <x:c r="I749" s="498"/>
      <x:c r="J749" s="498"/>
      <x:c r="K749" s="498"/>
      <x:c r="L749" s="498"/>
      <x:c r="M749" s="498"/>
    </x:row>
    <x:row r="750" ht="18" customHeight="1">
      <x:c r="A750" s="498"/>
      <x:c r="B750" s="498"/>
      <x:c r="C750" s="498"/>
      <x:c r="D750" s="498"/>
      <x:c r="E750" s="498"/>
      <x:c r="F750" s="498"/>
      <x:c r="G750" s="498"/>
      <x:c r="H750" s="498"/>
      <x:c r="I750" s="498"/>
      <x:c r="J750" s="498"/>
      <x:c r="K750" s="498"/>
      <x:c r="L750" s="498"/>
      <x:c r="M750" s="498"/>
    </x:row>
    <x:row r="751" ht="18" customHeight="1">
      <x:c r="A751" s="498"/>
      <x:c r="B751" s="498"/>
      <x:c r="C751" s="498"/>
      <x:c r="D751" s="498"/>
      <x:c r="E751" s="498"/>
      <x:c r="F751" s="498"/>
      <x:c r="G751" s="498"/>
      <x:c r="H751" s="498"/>
      <x:c r="I751" s="498"/>
      <x:c r="J751" s="498"/>
      <x:c r="K751" s="498"/>
      <x:c r="L751" s="498"/>
      <x:c r="M751" s="498"/>
    </x:row>
    <x:row r="752" ht="18" customHeight="1">
      <x:c r="A752" s="498"/>
      <x:c r="B752" s="498"/>
      <x:c r="C752" s="498"/>
      <x:c r="D752" s="498"/>
      <x:c r="E752" s="498"/>
      <x:c r="F752" s="498"/>
      <x:c r="G752" s="498"/>
      <x:c r="H752" s="498"/>
      <x:c r="I752" s="498"/>
      <x:c r="J752" s="498"/>
      <x:c r="K752" s="498"/>
      <x:c r="L752" s="498"/>
      <x:c r="M752" s="498"/>
    </x:row>
    <x:row r="753" ht="18" customHeight="1">
      <x:c r="A753" s="498"/>
      <x:c r="B753" s="498"/>
      <x:c r="C753" s="498"/>
      <x:c r="D753" s="498"/>
      <x:c r="E753" s="498"/>
      <x:c r="F753" s="498"/>
      <x:c r="G753" s="498"/>
      <x:c r="H753" s="498"/>
      <x:c r="I753" s="498"/>
      <x:c r="J753" s="498"/>
      <x:c r="K753" s="498"/>
      <x:c r="L753" s="498"/>
      <x:c r="M753" s="498"/>
    </x:row>
    <x:row r="754" ht="18" customHeight="1">
      <x:c r="A754" s="498"/>
      <x:c r="B754" s="498"/>
      <x:c r="C754" s="498"/>
      <x:c r="D754" s="498"/>
      <x:c r="E754" s="498"/>
      <x:c r="F754" s="498"/>
      <x:c r="G754" s="498"/>
      <x:c r="H754" s="498"/>
      <x:c r="I754" s="498"/>
      <x:c r="J754" s="498"/>
      <x:c r="K754" s="498"/>
      <x:c r="L754" s="498"/>
      <x:c r="M754" s="498"/>
    </x:row>
    <x:row r="755" ht="18" customHeight="1">
      <x:c r="A755" s="498"/>
      <x:c r="B755" s="498"/>
      <x:c r="C755" s="498"/>
      <x:c r="D755" s="498"/>
      <x:c r="E755" s="498"/>
      <x:c r="F755" s="498"/>
      <x:c r="G755" s="498"/>
      <x:c r="H755" s="498"/>
      <x:c r="I755" s="498"/>
      <x:c r="J755" s="498"/>
      <x:c r="K755" s="498"/>
      <x:c r="L755" s="498"/>
      <x:c r="M755" s="498"/>
    </x:row>
    <x:row r="756" ht="18" customHeight="1">
      <x:c r="A756" s="498"/>
      <x:c r="B756" s="498"/>
      <x:c r="C756" s="498"/>
      <x:c r="D756" s="498"/>
      <x:c r="E756" s="498"/>
      <x:c r="F756" s="498"/>
      <x:c r="G756" s="498"/>
      <x:c r="H756" s="498"/>
      <x:c r="I756" s="498"/>
      <x:c r="J756" s="498"/>
      <x:c r="K756" s="498"/>
      <x:c r="L756" s="498"/>
      <x:c r="M756" s="498"/>
    </x:row>
    <x:row r="757" ht="18" customHeight="1">
      <x:c r="A757" s="498"/>
      <x:c r="B757" s="498"/>
      <x:c r="C757" s="498"/>
      <x:c r="D757" s="498"/>
      <x:c r="E757" s="498"/>
      <x:c r="F757" s="498"/>
      <x:c r="G757" s="498"/>
      <x:c r="H757" s="498"/>
      <x:c r="I757" s="498"/>
      <x:c r="J757" s="498"/>
      <x:c r="K757" s="498"/>
      <x:c r="L757" s="498"/>
      <x:c r="M757" s="498"/>
    </x:row>
    <x:row r="758" ht="18" customHeight="1">
      <x:c r="A758" s="498"/>
      <x:c r="B758" s="498"/>
      <x:c r="C758" s="498"/>
      <x:c r="D758" s="498"/>
      <x:c r="E758" s="498"/>
      <x:c r="F758" s="498"/>
      <x:c r="G758" s="498"/>
      <x:c r="H758" s="498"/>
      <x:c r="I758" s="498"/>
      <x:c r="J758" s="498"/>
      <x:c r="K758" s="498"/>
      <x:c r="L758" s="498"/>
      <x:c r="M758" s="498"/>
    </x:row>
    <x:row r="759" ht="18" customHeight="1">
      <x:c r="A759" s="498"/>
      <x:c r="B759" s="498"/>
      <x:c r="C759" s="498"/>
      <x:c r="D759" s="498"/>
      <x:c r="E759" s="498"/>
      <x:c r="F759" s="498"/>
      <x:c r="G759" s="498"/>
      <x:c r="H759" s="498"/>
      <x:c r="I759" s="498"/>
      <x:c r="J759" s="498"/>
      <x:c r="K759" s="498"/>
      <x:c r="L759" s="498"/>
      <x:c r="M759" s="498"/>
    </x:row>
    <x:row r="760" ht="18" customHeight="1">
      <x:c r="A760" s="498"/>
      <x:c r="B760" s="498"/>
      <x:c r="C760" s="498"/>
      <x:c r="D760" s="498"/>
      <x:c r="E760" s="498"/>
      <x:c r="F760" s="498"/>
      <x:c r="G760" s="498"/>
      <x:c r="H760" s="498"/>
      <x:c r="I760" s="498"/>
      <x:c r="J760" s="498"/>
      <x:c r="K760" s="498"/>
      <x:c r="L760" s="498"/>
      <x:c r="M760" s="498"/>
    </x:row>
    <x:row r="761" ht="18" customHeight="1">
      <x:c r="A761" s="498"/>
      <x:c r="B761" s="498"/>
      <x:c r="C761" s="498"/>
      <x:c r="D761" s="498"/>
      <x:c r="E761" s="498"/>
      <x:c r="F761" s="498"/>
      <x:c r="G761" s="498"/>
      <x:c r="H761" s="498"/>
      <x:c r="I761" s="498"/>
      <x:c r="J761" s="498"/>
      <x:c r="K761" s="498"/>
      <x:c r="L761" s="498"/>
      <x:c r="M761" s="498"/>
    </x:row>
    <x:row r="762" ht="18" customHeight="1">
      <x:c r="A762" s="498"/>
      <x:c r="B762" s="498"/>
      <x:c r="C762" s="498"/>
      <x:c r="D762" s="498"/>
      <x:c r="E762" s="498"/>
      <x:c r="F762" s="498"/>
      <x:c r="G762" s="498"/>
      <x:c r="H762" s="498"/>
      <x:c r="I762" s="498"/>
      <x:c r="J762" s="498"/>
      <x:c r="K762" s="498"/>
      <x:c r="L762" s="498"/>
      <x:c r="M762" s="498"/>
    </x:row>
    <x:row r="763" ht="18" customHeight="1">
      <x:c r="A763" s="498"/>
      <x:c r="B763" s="498"/>
      <x:c r="C763" s="498"/>
      <x:c r="D763" s="498"/>
      <x:c r="E763" s="498"/>
      <x:c r="F763" s="498"/>
      <x:c r="G763" s="498"/>
      <x:c r="H763" s="498"/>
      <x:c r="I763" s="498"/>
      <x:c r="J763" s="498"/>
      <x:c r="K763" s="498"/>
      <x:c r="L763" s="498"/>
      <x:c r="M763" s="498"/>
    </x:row>
    <x:row r="764" ht="18" customHeight="1">
      <x:c r="A764" s="498"/>
      <x:c r="B764" s="498"/>
      <x:c r="C764" s="498"/>
      <x:c r="D764" s="498"/>
      <x:c r="E764" s="498"/>
      <x:c r="F764" s="498"/>
      <x:c r="G764" s="498"/>
      <x:c r="H764" s="498"/>
      <x:c r="I764" s="498"/>
      <x:c r="J764" s="498"/>
      <x:c r="K764" s="498"/>
      <x:c r="L764" s="498"/>
      <x:c r="M764" s="498"/>
    </x:row>
    <x:row r="765" ht="18" customHeight="1">
      <x:c r="A765" s="498"/>
      <x:c r="B765" s="498"/>
      <x:c r="C765" s="498"/>
      <x:c r="D765" s="498"/>
      <x:c r="E765" s="498"/>
      <x:c r="F765" s="498"/>
      <x:c r="G765" s="498"/>
      <x:c r="H765" s="498"/>
      <x:c r="I765" s="498"/>
      <x:c r="J765" s="498"/>
      <x:c r="K765" s="498"/>
      <x:c r="L765" s="498"/>
      <x:c r="M765" s="498"/>
    </x:row>
    <x:row r="766" ht="18" customHeight="1">
      <x:c r="A766" s="498"/>
      <x:c r="B766" s="498"/>
      <x:c r="C766" s="498"/>
      <x:c r="D766" s="498"/>
      <x:c r="E766" s="498"/>
      <x:c r="F766" s="498"/>
      <x:c r="G766" s="498"/>
      <x:c r="H766" s="498"/>
      <x:c r="I766" s="498"/>
      <x:c r="J766" s="498"/>
      <x:c r="K766" s="498"/>
      <x:c r="L766" s="498"/>
      <x:c r="M766" s="498"/>
    </x:row>
    <x:row r="767" ht="18" customHeight="1">
      <x:c r="A767" s="498"/>
      <x:c r="B767" s="498"/>
      <x:c r="C767" s="498"/>
      <x:c r="D767" s="498"/>
      <x:c r="E767" s="498"/>
      <x:c r="F767" s="498"/>
      <x:c r="G767" s="498"/>
      <x:c r="H767" s="498"/>
      <x:c r="I767" s="498"/>
      <x:c r="J767" s="498"/>
      <x:c r="K767" s="498"/>
      <x:c r="L767" s="498"/>
      <x:c r="M767" s="498"/>
    </x:row>
    <x:row r="768" ht="18" customHeight="1">
      <x:c r="A768" s="498"/>
      <x:c r="B768" s="498"/>
      <x:c r="C768" s="498"/>
      <x:c r="D768" s="498"/>
      <x:c r="E768" s="498"/>
      <x:c r="F768" s="498"/>
      <x:c r="G768" s="498"/>
      <x:c r="H768" s="498"/>
      <x:c r="I768" s="498"/>
      <x:c r="J768" s="498"/>
      <x:c r="K768" s="498"/>
      <x:c r="L768" s="498"/>
      <x:c r="M768" s="498"/>
    </x:row>
    <x:row r="769" ht="18" customHeight="1">
      <x:c r="A769" s="498"/>
      <x:c r="B769" s="498"/>
      <x:c r="C769" s="498"/>
      <x:c r="D769" s="498"/>
      <x:c r="E769" s="498"/>
      <x:c r="F769" s="498"/>
      <x:c r="G769" s="498"/>
      <x:c r="H769" s="498"/>
      <x:c r="I769" s="498"/>
      <x:c r="J769" s="498"/>
      <x:c r="K769" s="498"/>
      <x:c r="L769" s="498"/>
      <x:c r="M769" s="498"/>
    </x:row>
    <x:row r="770" ht="18" customHeight="1">
      <x:c r="A770" s="498"/>
      <x:c r="B770" s="498"/>
      <x:c r="C770" s="498"/>
      <x:c r="D770" s="498"/>
      <x:c r="E770" s="498"/>
      <x:c r="F770" s="498"/>
      <x:c r="G770" s="498"/>
      <x:c r="H770" s="498"/>
      <x:c r="I770" s="498"/>
      <x:c r="J770" s="498"/>
      <x:c r="K770" s="498"/>
      <x:c r="L770" s="498"/>
      <x:c r="M770" s="498"/>
    </x:row>
    <x:row r="771" ht="18" customHeight="1">
      <x:c r="A771" s="498"/>
      <x:c r="B771" s="498"/>
      <x:c r="C771" s="498"/>
      <x:c r="D771" s="498"/>
      <x:c r="E771" s="498"/>
      <x:c r="F771" s="498"/>
      <x:c r="G771" s="498"/>
      <x:c r="H771" s="498"/>
      <x:c r="I771" s="498"/>
      <x:c r="J771" s="498"/>
      <x:c r="K771" s="498"/>
      <x:c r="L771" s="498"/>
      <x:c r="M771" s="498"/>
    </x:row>
    <x:row r="772" ht="18" customHeight="1">
      <x:c r="A772" s="498"/>
      <x:c r="B772" s="498"/>
      <x:c r="C772" s="498"/>
      <x:c r="D772" s="498"/>
      <x:c r="E772" s="498"/>
      <x:c r="F772" s="498"/>
      <x:c r="G772" s="498"/>
      <x:c r="H772" s="498"/>
      <x:c r="I772" s="498"/>
      <x:c r="J772" s="498"/>
      <x:c r="K772" s="498"/>
      <x:c r="L772" s="498"/>
      <x:c r="M772" s="498"/>
    </x:row>
    <x:row r="773" ht="18" customHeight="1">
      <x:c r="A773" s="498"/>
      <x:c r="B773" s="498"/>
      <x:c r="C773" s="498"/>
      <x:c r="D773" s="498"/>
      <x:c r="E773" s="498"/>
      <x:c r="F773" s="498"/>
      <x:c r="G773" s="498"/>
      <x:c r="H773" s="498"/>
      <x:c r="I773" s="498"/>
      <x:c r="J773" s="498"/>
      <x:c r="K773" s="498"/>
      <x:c r="L773" s="498"/>
      <x:c r="M773" s="498"/>
    </x:row>
    <x:row r="774" ht="18" customHeight="1">
      <x:c r="A774" s="498"/>
      <x:c r="B774" s="498"/>
      <x:c r="C774" s="498"/>
      <x:c r="D774" s="498"/>
      <x:c r="E774" s="498"/>
      <x:c r="F774" s="498"/>
      <x:c r="G774" s="498"/>
      <x:c r="H774" s="498"/>
      <x:c r="I774" s="498"/>
      <x:c r="J774" s="498"/>
      <x:c r="K774" s="498"/>
      <x:c r="L774" s="498"/>
      <x:c r="M774" s="498"/>
    </x:row>
    <x:row r="775" ht="18" customHeight="1">
      <x:c r="A775" s="498"/>
      <x:c r="B775" s="498"/>
      <x:c r="C775" s="498"/>
      <x:c r="D775" s="498"/>
      <x:c r="E775" s="498"/>
      <x:c r="F775" s="498"/>
      <x:c r="G775" s="498"/>
      <x:c r="H775" s="498"/>
      <x:c r="I775" s="498"/>
      <x:c r="J775" s="498"/>
      <x:c r="K775" s="498"/>
      <x:c r="L775" s="498"/>
      <x:c r="M775" s="498"/>
    </x:row>
    <x:row r="776" ht="18" customHeight="1">
      <x:c r="A776" s="498"/>
      <x:c r="B776" s="498"/>
      <x:c r="C776" s="498"/>
      <x:c r="D776" s="498"/>
      <x:c r="E776" s="498"/>
      <x:c r="F776" s="498"/>
      <x:c r="G776" s="498"/>
      <x:c r="H776" s="498"/>
      <x:c r="I776" s="498"/>
      <x:c r="J776" s="498"/>
      <x:c r="K776" s="498"/>
      <x:c r="L776" s="498"/>
      <x:c r="M776" s="498"/>
    </x:row>
    <x:row r="777" ht="18" customHeight="1">
      <x:c r="A777" s="498"/>
      <x:c r="B777" s="498"/>
      <x:c r="C777" s="498"/>
      <x:c r="D777" s="498"/>
      <x:c r="E777" s="498"/>
      <x:c r="F777" s="498"/>
      <x:c r="G777" s="498"/>
      <x:c r="H777" s="498"/>
      <x:c r="I777" s="498"/>
      <x:c r="J777" s="498"/>
      <x:c r="K777" s="498"/>
      <x:c r="L777" s="498"/>
      <x:c r="M777" s="498"/>
    </x:row>
    <x:row r="778" ht="18" customHeight="1">
      <x:c r="A778" s="498"/>
      <x:c r="B778" s="498"/>
      <x:c r="C778" s="498"/>
      <x:c r="D778" s="498"/>
      <x:c r="E778" s="498"/>
      <x:c r="F778" s="498"/>
      <x:c r="G778" s="498"/>
      <x:c r="H778" s="498"/>
      <x:c r="I778" s="498"/>
      <x:c r="J778" s="498"/>
      <x:c r="K778" s="498"/>
      <x:c r="L778" s="498"/>
      <x:c r="M778" s="498"/>
    </x:row>
    <x:row r="779" ht="18" customHeight="1">
      <x:c r="A779" s="498"/>
      <x:c r="B779" s="498"/>
      <x:c r="C779" s="498"/>
      <x:c r="D779" s="498"/>
      <x:c r="E779" s="498"/>
      <x:c r="F779" s="498"/>
      <x:c r="G779" s="498"/>
      <x:c r="H779" s="498"/>
      <x:c r="I779" s="498"/>
      <x:c r="J779" s="498"/>
      <x:c r="K779" s="498"/>
      <x:c r="L779" s="498"/>
      <x:c r="M779" s="498"/>
    </x:row>
    <x:row r="780" ht="18" customHeight="1">
      <x:c r="A780" s="498"/>
      <x:c r="B780" s="498"/>
      <x:c r="C780" s="498"/>
      <x:c r="D780" s="498"/>
      <x:c r="E780" s="498"/>
      <x:c r="F780" s="498"/>
      <x:c r="G780" s="498"/>
      <x:c r="H780" s="498"/>
      <x:c r="I780" s="498"/>
      <x:c r="J780" s="498"/>
      <x:c r="K780" s="498"/>
      <x:c r="L780" s="498"/>
      <x:c r="M780" s="498"/>
    </x:row>
    <x:row r="781" ht="18" customHeight="1">
      <x:c r="A781" s="498"/>
      <x:c r="B781" s="498"/>
      <x:c r="C781" s="498"/>
      <x:c r="D781" s="498"/>
      <x:c r="E781" s="498"/>
      <x:c r="F781" s="498"/>
      <x:c r="G781" s="498"/>
      <x:c r="H781" s="498"/>
      <x:c r="I781" s="498"/>
      <x:c r="J781" s="498"/>
      <x:c r="K781" s="498"/>
      <x:c r="L781" s="498"/>
      <x:c r="M781" s="498"/>
    </x:row>
    <x:row r="782" ht="18" customHeight="1">
      <x:c r="A782" s="498"/>
      <x:c r="B782" s="498"/>
      <x:c r="C782" s="498"/>
      <x:c r="D782" s="498"/>
      <x:c r="E782" s="498"/>
      <x:c r="F782" s="498"/>
      <x:c r="G782" s="498"/>
      <x:c r="H782" s="498"/>
      <x:c r="I782" s="498"/>
      <x:c r="J782" s="498"/>
      <x:c r="K782" s="498"/>
      <x:c r="L782" s="498"/>
      <x:c r="M782" s="498"/>
    </x:row>
    <x:row r="783" ht="18" customHeight="1">
      <x:c r="A783" s="498"/>
      <x:c r="B783" s="498"/>
      <x:c r="C783" s="498"/>
      <x:c r="D783" s="498"/>
      <x:c r="E783" s="498"/>
      <x:c r="F783" s="498"/>
      <x:c r="G783" s="498"/>
      <x:c r="H783" s="498"/>
      <x:c r="I783" s="498"/>
      <x:c r="J783" s="498"/>
      <x:c r="K783" s="498"/>
      <x:c r="L783" s="498"/>
      <x:c r="M783" s="498"/>
    </x:row>
    <x:row r="784" ht="18" customHeight="1">
      <x:c r="A784" s="498"/>
      <x:c r="B784" s="498"/>
      <x:c r="C784" s="498"/>
      <x:c r="D784" s="498"/>
      <x:c r="E784" s="498"/>
      <x:c r="F784" s="498"/>
      <x:c r="G784" s="498"/>
      <x:c r="H784" s="498"/>
      <x:c r="I784" s="498"/>
      <x:c r="J784" s="498"/>
      <x:c r="K784" s="498"/>
      <x:c r="L784" s="498"/>
      <x:c r="M784" s="498"/>
    </x:row>
    <x:row r="785" ht="18" customHeight="1">
      <x:c r="A785" s="498"/>
      <x:c r="B785" s="498"/>
      <x:c r="C785" s="498"/>
      <x:c r="D785" s="498"/>
      <x:c r="E785" s="498"/>
      <x:c r="F785" s="498"/>
      <x:c r="G785" s="498"/>
      <x:c r="H785" s="498"/>
      <x:c r="I785" s="498"/>
      <x:c r="J785" s="498"/>
      <x:c r="K785" s="498"/>
      <x:c r="L785" s="498"/>
      <x:c r="M785" s="498"/>
    </x:row>
    <x:row r="786" ht="18" customHeight="1">
      <x:c r="A786" s="498"/>
      <x:c r="B786" s="498"/>
      <x:c r="C786" s="498"/>
      <x:c r="D786" s="498"/>
      <x:c r="E786" s="498"/>
      <x:c r="F786" s="498"/>
      <x:c r="G786" s="498"/>
      <x:c r="H786" s="498"/>
      <x:c r="I786" s="498"/>
      <x:c r="J786" s="498"/>
      <x:c r="K786" s="498"/>
      <x:c r="L786" s="498"/>
      <x:c r="M786" s="498"/>
    </x:row>
    <x:row r="787" ht="18" customHeight="1">
      <x:c r="A787" s="498"/>
      <x:c r="B787" s="498"/>
      <x:c r="C787" s="498"/>
      <x:c r="D787" s="498"/>
      <x:c r="E787" s="498"/>
      <x:c r="F787" s="498"/>
      <x:c r="G787" s="498"/>
      <x:c r="H787" s="498"/>
      <x:c r="I787" s="498"/>
      <x:c r="J787" s="498"/>
      <x:c r="K787" s="498"/>
      <x:c r="L787" s="498"/>
      <x:c r="M787" s="498"/>
    </x:row>
    <x:row r="788" ht="18" customHeight="1">
      <x:c r="A788" s="498"/>
      <x:c r="B788" s="498"/>
      <x:c r="C788" s="498"/>
      <x:c r="D788" s="498"/>
      <x:c r="E788" s="498"/>
      <x:c r="F788" s="498"/>
      <x:c r="G788" s="498"/>
      <x:c r="H788" s="498"/>
      <x:c r="I788" s="498"/>
      <x:c r="J788" s="498"/>
      <x:c r="K788" s="498"/>
      <x:c r="L788" s="498"/>
      <x:c r="M788" s="498"/>
    </x:row>
    <x:row r="789" ht="18" customHeight="1">
      <x:c r="A789" s="498"/>
      <x:c r="B789" s="498"/>
      <x:c r="C789" s="498"/>
      <x:c r="D789" s="498"/>
      <x:c r="E789" s="498"/>
      <x:c r="F789" s="498"/>
      <x:c r="G789" s="498"/>
      <x:c r="H789" s="498"/>
      <x:c r="I789" s="498"/>
      <x:c r="J789" s="498"/>
      <x:c r="K789" s="498"/>
      <x:c r="L789" s="498"/>
      <x:c r="M789" s="498"/>
    </x:row>
    <x:row r="790" ht="18" customHeight="1">
      <x:c r="A790" s="498"/>
      <x:c r="B790" s="498"/>
      <x:c r="C790" s="498"/>
      <x:c r="D790" s="498"/>
      <x:c r="E790" s="498"/>
      <x:c r="F790" s="498"/>
      <x:c r="G790" s="498"/>
      <x:c r="H790" s="498"/>
      <x:c r="I790" s="498"/>
      <x:c r="J790" s="498"/>
      <x:c r="K790" s="498"/>
      <x:c r="L790" s="498"/>
      <x:c r="M790" s="498"/>
    </x:row>
    <x:row r="791" ht="18" customHeight="1">
      <x:c r="A791" s="498"/>
      <x:c r="B791" s="498"/>
      <x:c r="C791" s="498"/>
      <x:c r="D791" s="498"/>
      <x:c r="E791" s="498"/>
      <x:c r="F791" s="498"/>
      <x:c r="G791" s="498"/>
      <x:c r="H791" s="498"/>
      <x:c r="I791" s="498"/>
      <x:c r="J791" s="498"/>
      <x:c r="K791" s="498"/>
      <x:c r="L791" s="498"/>
      <x:c r="M791" s="498"/>
    </x:row>
    <x:row r="792" ht="18" customHeight="1">
      <x:c r="A792" s="498"/>
      <x:c r="B792" s="498"/>
      <x:c r="C792" s="498"/>
      <x:c r="D792" s="498"/>
      <x:c r="E792" s="498"/>
      <x:c r="F792" s="498"/>
      <x:c r="G792" s="498"/>
      <x:c r="H792" s="498"/>
      <x:c r="I792" s="498"/>
      <x:c r="J792" s="498"/>
      <x:c r="K792" s="498"/>
      <x:c r="L792" s="498"/>
      <x:c r="M792" s="498"/>
    </x:row>
    <x:row r="793" ht="18" customHeight="1">
      <x:c r="A793" s="498"/>
      <x:c r="B793" s="498"/>
      <x:c r="C793" s="498"/>
      <x:c r="D793" s="498"/>
      <x:c r="E793" s="498"/>
      <x:c r="F793" s="498"/>
      <x:c r="G793" s="498"/>
      <x:c r="H793" s="498"/>
      <x:c r="I793" s="498"/>
      <x:c r="J793" s="498"/>
      <x:c r="K793" s="498"/>
      <x:c r="L793" s="498"/>
      <x:c r="M793" s="498"/>
    </x:row>
    <x:row r="794" ht="18" customHeight="1">
      <x:c r="A794" s="498"/>
      <x:c r="B794" s="498"/>
      <x:c r="C794" s="498"/>
      <x:c r="D794" s="498"/>
      <x:c r="E794" s="498"/>
      <x:c r="F794" s="498"/>
      <x:c r="G794" s="498"/>
      <x:c r="H794" s="498"/>
      <x:c r="I794" s="498"/>
      <x:c r="J794" s="498"/>
      <x:c r="K794" s="498"/>
      <x:c r="L794" s="498"/>
      <x:c r="M794" s="498"/>
    </x:row>
    <x:row r="795" ht="18" customHeight="1">
      <x:c r="A795" s="498"/>
      <x:c r="B795" s="498"/>
      <x:c r="C795" s="498"/>
      <x:c r="D795" s="498"/>
      <x:c r="E795" s="498"/>
      <x:c r="F795" s="498"/>
      <x:c r="G795" s="498"/>
      <x:c r="H795" s="498"/>
      <x:c r="I795" s="498"/>
      <x:c r="J795" s="498"/>
      <x:c r="K795" s="498"/>
      <x:c r="L795" s="498"/>
      <x:c r="M795" s="498"/>
    </x:row>
    <x:row r="796" ht="18" customHeight="1">
      <x:c r="A796" s="498"/>
      <x:c r="B796" s="498"/>
      <x:c r="C796" s="498"/>
      <x:c r="D796" s="498"/>
      <x:c r="E796" s="498"/>
      <x:c r="F796" s="498"/>
      <x:c r="G796" s="498"/>
      <x:c r="H796" s="498"/>
      <x:c r="I796" s="498"/>
      <x:c r="J796" s="498"/>
      <x:c r="K796" s="498"/>
      <x:c r="L796" s="498"/>
      <x:c r="M796" s="498"/>
    </x:row>
    <x:row r="797" ht="18" customHeight="1">
      <x:c r="A797" s="498"/>
      <x:c r="B797" s="498"/>
      <x:c r="C797" s="498"/>
      <x:c r="D797" s="498"/>
      <x:c r="E797" s="498"/>
      <x:c r="F797" s="498"/>
      <x:c r="G797" s="498"/>
      <x:c r="H797" s="498"/>
      <x:c r="I797" s="498"/>
      <x:c r="J797" s="498"/>
      <x:c r="K797" s="498"/>
      <x:c r="L797" s="498"/>
      <x:c r="M797" s="498"/>
    </x:row>
    <x:row r="798" ht="18" customHeight="1">
      <x:c r="A798" s="498"/>
      <x:c r="B798" s="498"/>
      <x:c r="C798" s="498"/>
      <x:c r="D798" s="498"/>
      <x:c r="E798" s="498"/>
      <x:c r="F798" s="498"/>
      <x:c r="G798" s="498"/>
      <x:c r="H798" s="498"/>
      <x:c r="I798" s="498"/>
      <x:c r="J798" s="498"/>
      <x:c r="K798" s="498"/>
      <x:c r="L798" s="498"/>
      <x:c r="M798" s="498"/>
    </x:row>
    <x:row r="799" ht="18" customHeight="1">
      <x:c r="A799" s="498"/>
      <x:c r="B799" s="498"/>
      <x:c r="C799" s="498"/>
      <x:c r="D799" s="498"/>
      <x:c r="E799" s="498"/>
      <x:c r="F799" s="498"/>
      <x:c r="G799" s="498"/>
      <x:c r="H799" s="498"/>
      <x:c r="I799" s="498"/>
      <x:c r="J799" s="498"/>
      <x:c r="K799" s="498"/>
      <x:c r="L799" s="498"/>
      <x:c r="M799" s="498"/>
    </x:row>
    <x:row r="800" ht="18" customHeight="1">
      <x:c r="A800" s="498"/>
      <x:c r="B800" s="498"/>
      <x:c r="C800" s="498"/>
      <x:c r="D800" s="498"/>
      <x:c r="E800" s="498"/>
      <x:c r="F800" s="498"/>
      <x:c r="G800" s="498"/>
      <x:c r="H800" s="498"/>
      <x:c r="I800" s="498"/>
      <x:c r="J800" s="498"/>
      <x:c r="K800" s="498"/>
      <x:c r="L800" s="498"/>
      <x:c r="M800" s="498"/>
    </x:row>
    <x:row r="801" ht="18" customHeight="1">
      <x:c r="A801" s="498"/>
      <x:c r="B801" s="498"/>
      <x:c r="C801" s="498"/>
      <x:c r="D801" s="498"/>
      <x:c r="E801" s="498"/>
      <x:c r="F801" s="498"/>
      <x:c r="G801" s="498"/>
      <x:c r="H801" s="498"/>
      <x:c r="I801" s="498"/>
      <x:c r="J801" s="498"/>
      <x:c r="K801" s="498"/>
      <x:c r="L801" s="498"/>
      <x:c r="M801" s="498"/>
    </x:row>
    <x:row r="802" ht="18" customHeight="1">
      <x:c r="A802" s="498"/>
      <x:c r="B802" s="498"/>
      <x:c r="C802" s="498"/>
      <x:c r="D802" s="498"/>
      <x:c r="E802" s="498"/>
      <x:c r="F802" s="498"/>
      <x:c r="G802" s="498"/>
      <x:c r="H802" s="498"/>
      <x:c r="I802" s="498"/>
      <x:c r="J802" s="498"/>
      <x:c r="K802" s="498"/>
      <x:c r="L802" s="498"/>
      <x:c r="M802" s="498"/>
    </x:row>
    <x:row r="803" ht="18" customHeight="1">
      <x:c r="A803" s="498"/>
      <x:c r="B803" s="498"/>
      <x:c r="C803" s="498"/>
      <x:c r="D803" s="498"/>
      <x:c r="E803" s="498"/>
      <x:c r="F803" s="498"/>
      <x:c r="G803" s="498"/>
      <x:c r="H803" s="498"/>
      <x:c r="I803" s="498"/>
      <x:c r="J803" s="498"/>
      <x:c r="K803" s="498"/>
      <x:c r="L803" s="498"/>
      <x:c r="M803" s="498"/>
    </x:row>
    <x:row r="804" ht="18" customHeight="1">
      <x:c r="A804" s="498"/>
      <x:c r="B804" s="498"/>
      <x:c r="C804" s="498"/>
      <x:c r="D804" s="498"/>
      <x:c r="E804" s="498"/>
      <x:c r="F804" s="498"/>
      <x:c r="G804" s="498"/>
      <x:c r="H804" s="498"/>
      <x:c r="I804" s="498"/>
      <x:c r="J804" s="498"/>
      <x:c r="K804" s="498"/>
      <x:c r="L804" s="498"/>
      <x:c r="M804" s="498"/>
    </x:row>
    <x:row r="805" ht="18" customHeight="1">
      <x:c r="A805" s="498"/>
      <x:c r="B805" s="498"/>
      <x:c r="C805" s="498"/>
      <x:c r="D805" s="498"/>
      <x:c r="E805" s="498"/>
      <x:c r="F805" s="498"/>
      <x:c r="G805" s="498"/>
      <x:c r="H805" s="498"/>
      <x:c r="I805" s="498"/>
      <x:c r="J805" s="498"/>
      <x:c r="K805" s="498"/>
      <x:c r="L805" s="498"/>
      <x:c r="M805" s="498"/>
    </x:row>
    <x:row r="806" ht="18" customHeight="1">
      <x:c r="A806" s="498"/>
      <x:c r="B806" s="498"/>
      <x:c r="C806" s="498"/>
      <x:c r="D806" s="498"/>
      <x:c r="E806" s="498"/>
      <x:c r="F806" s="498"/>
      <x:c r="G806" s="498"/>
      <x:c r="H806" s="498"/>
      <x:c r="I806" s="498"/>
      <x:c r="J806" s="498"/>
      <x:c r="K806" s="498"/>
      <x:c r="L806" s="498"/>
      <x:c r="M806" s="498"/>
    </x:row>
    <x:row r="807" ht="18" customHeight="1">
      <x:c r="A807" s="498"/>
      <x:c r="B807" s="498"/>
      <x:c r="C807" s="498"/>
      <x:c r="D807" s="498"/>
      <x:c r="E807" s="498"/>
      <x:c r="F807" s="498"/>
      <x:c r="G807" s="498"/>
      <x:c r="H807" s="498"/>
      <x:c r="I807" s="498"/>
      <x:c r="J807" s="498"/>
      <x:c r="K807" s="498"/>
      <x:c r="L807" s="498"/>
      <x:c r="M807" s="498"/>
    </x:row>
    <x:row r="808" ht="18" customHeight="1">
      <x:c r="A808" s="498"/>
      <x:c r="B808" s="498"/>
      <x:c r="C808" s="498"/>
      <x:c r="D808" s="498"/>
      <x:c r="E808" s="498"/>
      <x:c r="F808" s="498"/>
      <x:c r="G808" s="498"/>
      <x:c r="H808" s="498"/>
      <x:c r="I808" s="498"/>
      <x:c r="J808" s="498"/>
      <x:c r="K808" s="498"/>
      <x:c r="L808" s="498"/>
      <x:c r="M808" s="498"/>
    </x:row>
    <x:row r="809" ht="18" customHeight="1">
      <x:c r="A809" s="498"/>
      <x:c r="B809" s="498"/>
      <x:c r="C809" s="498"/>
      <x:c r="D809" s="498"/>
      <x:c r="E809" s="498"/>
      <x:c r="F809" s="498"/>
      <x:c r="G809" s="498"/>
      <x:c r="H809" s="498"/>
      <x:c r="I809" s="498"/>
      <x:c r="J809" s="498"/>
      <x:c r="K809" s="498"/>
      <x:c r="L809" s="498"/>
      <x:c r="M809" s="498"/>
    </x:row>
    <x:row r="810" ht="18" customHeight="1">
      <x:c r="A810" s="498"/>
      <x:c r="B810" s="498"/>
      <x:c r="C810" s="498"/>
      <x:c r="D810" s="498"/>
      <x:c r="E810" s="498"/>
      <x:c r="F810" s="498"/>
      <x:c r="G810" s="498"/>
      <x:c r="H810" s="498"/>
      <x:c r="I810" s="498"/>
      <x:c r="J810" s="498"/>
      <x:c r="K810" s="498"/>
      <x:c r="L810" s="498"/>
      <x:c r="M810" s="498"/>
    </x:row>
    <x:row r="811" ht="18" customHeight="1">
      <x:c r="A811" s="498"/>
      <x:c r="B811" s="498"/>
      <x:c r="C811" s="498"/>
      <x:c r="D811" s="498"/>
      <x:c r="E811" s="498"/>
      <x:c r="F811" s="498"/>
      <x:c r="G811" s="498"/>
      <x:c r="H811" s="498"/>
      <x:c r="I811" s="498"/>
      <x:c r="J811" s="498"/>
      <x:c r="K811" s="498"/>
      <x:c r="L811" s="498"/>
      <x:c r="M811" s="498"/>
    </x:row>
    <x:row r="812" ht="18" customHeight="1">
      <x:c r="A812" s="498"/>
      <x:c r="B812" s="498"/>
      <x:c r="C812" s="498"/>
      <x:c r="D812" s="498"/>
      <x:c r="E812" s="498"/>
      <x:c r="F812" s="498"/>
      <x:c r="G812" s="498"/>
      <x:c r="H812" s="498"/>
      <x:c r="I812" s="498"/>
      <x:c r="J812" s="498"/>
      <x:c r="K812" s="498"/>
      <x:c r="L812" s="498"/>
      <x:c r="M812" s="498"/>
    </x:row>
    <x:row r="813" ht="18" customHeight="1">
      <x:c r="A813" s="498"/>
      <x:c r="B813" s="498"/>
      <x:c r="C813" s="498"/>
      <x:c r="D813" s="498"/>
      <x:c r="E813" s="498"/>
      <x:c r="F813" s="498"/>
      <x:c r="G813" s="498"/>
      <x:c r="H813" s="498"/>
      <x:c r="I813" s="498"/>
      <x:c r="J813" s="498"/>
      <x:c r="K813" s="498"/>
      <x:c r="L813" s="498"/>
      <x:c r="M813" s="498"/>
    </x:row>
    <x:row r="814" ht="18" customHeight="1">
      <x:c r="A814" s="498"/>
      <x:c r="B814" s="498"/>
      <x:c r="C814" s="498"/>
      <x:c r="D814" s="498"/>
      <x:c r="E814" s="498"/>
      <x:c r="F814" s="498"/>
      <x:c r="G814" s="498"/>
      <x:c r="H814" s="498"/>
      <x:c r="I814" s="498"/>
      <x:c r="J814" s="498"/>
      <x:c r="K814" s="498"/>
      <x:c r="L814" s="498"/>
      <x:c r="M814" s="498"/>
    </x:row>
    <x:row r="815" ht="18" customHeight="1">
      <x:c r="A815" s="498"/>
      <x:c r="B815" s="498"/>
      <x:c r="C815" s="498"/>
      <x:c r="D815" s="498"/>
      <x:c r="E815" s="498"/>
      <x:c r="F815" s="498"/>
      <x:c r="G815" s="498"/>
      <x:c r="H815" s="498"/>
      <x:c r="I815" s="498"/>
      <x:c r="J815" s="498"/>
      <x:c r="K815" s="498"/>
      <x:c r="L815" s="498"/>
      <x:c r="M815" s="498"/>
    </x:row>
    <x:row r="816" ht="18" customHeight="1">
      <x:c r="A816" s="498"/>
      <x:c r="B816" s="498"/>
      <x:c r="C816" s="498"/>
      <x:c r="D816" s="498"/>
      <x:c r="E816" s="498"/>
      <x:c r="F816" s="498"/>
      <x:c r="G816" s="498"/>
      <x:c r="H816" s="498"/>
      <x:c r="I816" s="498"/>
      <x:c r="J816" s="498"/>
      <x:c r="K816" s="498"/>
      <x:c r="L816" s="498"/>
      <x:c r="M816" s="498"/>
    </x:row>
    <x:row r="817" ht="18" customHeight="1">
      <x:c r="A817" s="498"/>
      <x:c r="B817" s="498"/>
      <x:c r="C817" s="498"/>
      <x:c r="D817" s="498"/>
      <x:c r="E817" s="498"/>
      <x:c r="F817" s="498"/>
      <x:c r="G817" s="498"/>
      <x:c r="H817" s="498"/>
      <x:c r="I817" s="498"/>
      <x:c r="J817" s="498"/>
      <x:c r="K817" s="498"/>
      <x:c r="L817" s="498"/>
      <x:c r="M817" s="498"/>
    </x:row>
    <x:row r="818" ht="18" customHeight="1">
      <x:c r="A818" s="498"/>
      <x:c r="B818" s="498"/>
      <x:c r="C818" s="498"/>
      <x:c r="D818" s="498"/>
      <x:c r="E818" s="498"/>
      <x:c r="F818" s="498"/>
      <x:c r="G818" s="498"/>
      <x:c r="H818" s="498"/>
      <x:c r="I818" s="498"/>
      <x:c r="J818" s="498"/>
      <x:c r="K818" s="498"/>
      <x:c r="L818" s="498"/>
      <x:c r="M818" s="498"/>
    </x:row>
    <x:row r="819" ht="18" customHeight="1">
      <x:c r="A819" s="498"/>
      <x:c r="B819" s="498"/>
      <x:c r="C819" s="498"/>
      <x:c r="D819" s="498"/>
      <x:c r="E819" s="498"/>
      <x:c r="F819" s="498"/>
      <x:c r="G819" s="498"/>
      <x:c r="H819" s="498"/>
      <x:c r="I819" s="498"/>
      <x:c r="J819" s="498"/>
      <x:c r="K819" s="498"/>
      <x:c r="L819" s="498"/>
      <x:c r="M819" s="498"/>
    </x:row>
    <x:row r="820" ht="18" customHeight="1">
      <x:c r="A820" s="498"/>
      <x:c r="B820" s="498"/>
      <x:c r="C820" s="498"/>
      <x:c r="D820" s="498"/>
      <x:c r="E820" s="498"/>
      <x:c r="F820" s="498"/>
      <x:c r="G820" s="498"/>
      <x:c r="H820" s="498"/>
      <x:c r="I820" s="498"/>
      <x:c r="J820" s="498"/>
      <x:c r="K820" s="498"/>
      <x:c r="L820" s="498"/>
      <x:c r="M820" s="498"/>
    </x:row>
    <x:row r="821" ht="18" customHeight="1">
      <x:c r="A821" s="498"/>
      <x:c r="B821" s="498"/>
      <x:c r="C821" s="498"/>
      <x:c r="D821" s="498"/>
      <x:c r="E821" s="498"/>
      <x:c r="F821" s="498"/>
      <x:c r="G821" s="498"/>
      <x:c r="H821" s="498"/>
      <x:c r="I821" s="498"/>
      <x:c r="J821" s="498"/>
      <x:c r="K821" s="498"/>
      <x:c r="L821" s="498"/>
      <x:c r="M821" s="498"/>
    </x:row>
    <x:row r="822" ht="18" customHeight="1">
      <x:c r="A822" s="498"/>
      <x:c r="B822" s="498"/>
      <x:c r="C822" s="498"/>
      <x:c r="D822" s="498"/>
      <x:c r="E822" s="498"/>
      <x:c r="F822" s="498"/>
      <x:c r="G822" s="498"/>
      <x:c r="H822" s="498"/>
      <x:c r="I822" s="498"/>
      <x:c r="J822" s="498"/>
      <x:c r="K822" s="498"/>
      <x:c r="L822" s="498"/>
      <x:c r="M822" s="498"/>
    </x:row>
    <x:row r="823" ht="18" customHeight="1">
      <x:c r="A823" s="498"/>
      <x:c r="B823" s="498"/>
      <x:c r="C823" s="498"/>
      <x:c r="D823" s="498"/>
      <x:c r="E823" s="498"/>
      <x:c r="F823" s="498"/>
      <x:c r="G823" s="498"/>
      <x:c r="H823" s="498"/>
      <x:c r="I823" s="498"/>
      <x:c r="J823" s="498"/>
      <x:c r="K823" s="498"/>
      <x:c r="L823" s="498"/>
      <x:c r="M823" s="498"/>
    </x:row>
    <x:row r="824" ht="18" customHeight="1">
      <x:c r="A824" s="498"/>
      <x:c r="B824" s="498"/>
      <x:c r="C824" s="498"/>
      <x:c r="D824" s="498"/>
      <x:c r="E824" s="498"/>
      <x:c r="F824" s="498"/>
      <x:c r="G824" s="498"/>
      <x:c r="H824" s="498"/>
      <x:c r="I824" s="498"/>
      <x:c r="J824" s="498"/>
      <x:c r="K824" s="498"/>
      <x:c r="L824" s="498"/>
      <x:c r="M824" s="498"/>
    </x:row>
    <x:row r="825" ht="18" customHeight="1">
      <x:c r="A825" s="498"/>
      <x:c r="B825" s="498"/>
      <x:c r="C825" s="498"/>
      <x:c r="D825" s="498"/>
      <x:c r="E825" s="498"/>
      <x:c r="F825" s="498"/>
      <x:c r="G825" s="498"/>
      <x:c r="H825" s="498"/>
      <x:c r="I825" s="498"/>
      <x:c r="J825" s="498"/>
      <x:c r="K825" s="498"/>
      <x:c r="L825" s="498"/>
      <x:c r="M825" s="498"/>
    </x:row>
    <x:row r="826" ht="18" customHeight="1">
      <x:c r="A826" s="498"/>
      <x:c r="B826" s="498"/>
      <x:c r="C826" s="498"/>
      <x:c r="D826" s="498"/>
      <x:c r="E826" s="498"/>
      <x:c r="F826" s="498"/>
      <x:c r="G826" s="498"/>
      <x:c r="H826" s="498"/>
      <x:c r="I826" s="498"/>
      <x:c r="J826" s="498"/>
      <x:c r="K826" s="498"/>
      <x:c r="L826" s="498"/>
      <x:c r="M826" s="498"/>
    </x:row>
    <x:row r="827" ht="18" customHeight="1">
      <x:c r="A827" s="498"/>
      <x:c r="B827" s="498"/>
      <x:c r="C827" s="498"/>
      <x:c r="D827" s="498"/>
      <x:c r="E827" s="498"/>
      <x:c r="F827" s="498"/>
      <x:c r="G827" s="498"/>
      <x:c r="H827" s="498"/>
      <x:c r="I827" s="498"/>
      <x:c r="J827" s="498"/>
      <x:c r="K827" s="498"/>
      <x:c r="L827" s="498"/>
      <x:c r="M827" s="498"/>
    </x:row>
    <x:row r="828" ht="18" customHeight="1">
      <x:c r="A828" s="498"/>
      <x:c r="B828" s="498"/>
      <x:c r="C828" s="498"/>
      <x:c r="D828" s="498"/>
      <x:c r="E828" s="498"/>
      <x:c r="F828" s="498"/>
      <x:c r="G828" s="498"/>
      <x:c r="H828" s="498"/>
      <x:c r="I828" s="498"/>
      <x:c r="J828" s="498"/>
      <x:c r="K828" s="498"/>
      <x:c r="L828" s="498"/>
      <x:c r="M828" s="498"/>
    </x:row>
    <x:row r="829" ht="18" customHeight="1">
      <x:c r="A829" s="498"/>
      <x:c r="B829" s="498"/>
      <x:c r="C829" s="498"/>
      <x:c r="D829" s="498"/>
      <x:c r="E829" s="498"/>
      <x:c r="F829" s="498"/>
      <x:c r="G829" s="498"/>
      <x:c r="H829" s="498"/>
      <x:c r="I829" s="498"/>
      <x:c r="J829" s="498"/>
      <x:c r="K829" s="498"/>
      <x:c r="L829" s="498"/>
      <x:c r="M829" s="498"/>
    </x:row>
    <x:row r="830" ht="18" customHeight="1">
      <x:c r="A830" s="498"/>
      <x:c r="B830" s="498"/>
      <x:c r="C830" s="498"/>
      <x:c r="D830" s="498"/>
      <x:c r="E830" s="498"/>
      <x:c r="F830" s="498"/>
      <x:c r="G830" s="498"/>
      <x:c r="H830" s="498"/>
      <x:c r="I830" s="498"/>
      <x:c r="J830" s="498"/>
      <x:c r="K830" s="498"/>
      <x:c r="L830" s="498"/>
      <x:c r="M830" s="498"/>
    </x:row>
    <x:row r="831" ht="18" customHeight="1">
      <x:c r="A831" s="498"/>
      <x:c r="B831" s="498"/>
      <x:c r="C831" s="498"/>
      <x:c r="D831" s="498"/>
      <x:c r="E831" s="498"/>
      <x:c r="F831" s="498"/>
      <x:c r="G831" s="498"/>
      <x:c r="H831" s="498"/>
      <x:c r="I831" s="498"/>
      <x:c r="J831" s="498"/>
      <x:c r="K831" s="498"/>
      <x:c r="L831" s="498"/>
      <x:c r="M831" s="498"/>
    </x:row>
    <x:row r="832" ht="18" customHeight="1">
      <x:c r="A832" s="498"/>
      <x:c r="B832" s="498"/>
      <x:c r="C832" s="498"/>
      <x:c r="D832" s="498"/>
      <x:c r="E832" s="498"/>
      <x:c r="F832" s="498"/>
      <x:c r="G832" s="498"/>
      <x:c r="H832" s="498"/>
      <x:c r="I832" s="498"/>
      <x:c r="J832" s="498"/>
      <x:c r="K832" s="498"/>
      <x:c r="L832" s="498"/>
      <x:c r="M832" s="498"/>
    </x:row>
    <x:row r="833" ht="18" customHeight="1">
      <x:c r="A833" s="498"/>
      <x:c r="B833" s="498"/>
      <x:c r="C833" s="498"/>
      <x:c r="D833" s="498"/>
      <x:c r="E833" s="498"/>
      <x:c r="F833" s="498"/>
      <x:c r="G833" s="498"/>
      <x:c r="H833" s="498"/>
      <x:c r="I833" s="498"/>
      <x:c r="J833" s="498"/>
      <x:c r="K833" s="498"/>
      <x:c r="L833" s="498"/>
      <x:c r="M833" s="498"/>
    </x:row>
    <x:row r="834" ht="18" customHeight="1">
      <x:c r="A834" s="498"/>
      <x:c r="B834" s="498"/>
      <x:c r="C834" s="498"/>
      <x:c r="D834" s="498"/>
      <x:c r="E834" s="498"/>
      <x:c r="F834" s="498"/>
      <x:c r="G834" s="498"/>
      <x:c r="H834" s="498"/>
      <x:c r="I834" s="498"/>
      <x:c r="J834" s="498"/>
      <x:c r="K834" s="498"/>
      <x:c r="L834" s="498"/>
      <x:c r="M834" s="498"/>
    </x:row>
    <x:row r="835" ht="18" customHeight="1">
      <x:c r="A835" s="498"/>
      <x:c r="B835" s="498"/>
      <x:c r="C835" s="498"/>
      <x:c r="D835" s="498"/>
      <x:c r="E835" s="498"/>
      <x:c r="F835" s="498"/>
      <x:c r="G835" s="498"/>
      <x:c r="H835" s="498"/>
      <x:c r="I835" s="498"/>
      <x:c r="J835" s="498"/>
      <x:c r="K835" s="498"/>
      <x:c r="L835" s="498"/>
      <x:c r="M835" s="498"/>
    </x:row>
    <x:row r="836" ht="18" customHeight="1">
      <x:c r="A836" s="498"/>
      <x:c r="B836" s="498"/>
      <x:c r="C836" s="498"/>
      <x:c r="D836" s="498"/>
      <x:c r="E836" s="498"/>
      <x:c r="F836" s="498"/>
      <x:c r="G836" s="498"/>
      <x:c r="H836" s="498"/>
      <x:c r="I836" s="498"/>
      <x:c r="J836" s="498"/>
      <x:c r="K836" s="498"/>
      <x:c r="L836" s="498"/>
      <x:c r="M836" s="498"/>
    </x:row>
    <x:row r="837" ht="18" customHeight="1">
      <x:c r="A837" s="498"/>
      <x:c r="B837" s="498"/>
      <x:c r="C837" s="498"/>
      <x:c r="D837" s="498"/>
      <x:c r="E837" s="498"/>
      <x:c r="F837" s="498"/>
      <x:c r="G837" s="498"/>
      <x:c r="H837" s="498"/>
      <x:c r="I837" s="498"/>
      <x:c r="J837" s="498"/>
      <x:c r="K837" s="498"/>
      <x:c r="L837" s="498"/>
      <x:c r="M837" s="498"/>
    </x:row>
    <x:row r="838" ht="18" customHeight="1">
      <x:c r="A838" s="498"/>
      <x:c r="B838" s="498"/>
      <x:c r="C838" s="498"/>
      <x:c r="D838" s="498"/>
      <x:c r="E838" s="498"/>
      <x:c r="F838" s="498"/>
      <x:c r="G838" s="498"/>
      <x:c r="H838" s="498"/>
      <x:c r="I838" s="498"/>
      <x:c r="J838" s="498"/>
      <x:c r="K838" s="498"/>
      <x:c r="L838" s="498"/>
      <x:c r="M838" s="498"/>
    </x:row>
    <x:row r="839" ht="18" customHeight="1">
      <x:c r="A839" s="498"/>
      <x:c r="B839" s="498"/>
      <x:c r="C839" s="498"/>
      <x:c r="D839" s="498"/>
      <x:c r="E839" s="498"/>
      <x:c r="F839" s="498"/>
      <x:c r="G839" s="498"/>
      <x:c r="H839" s="498"/>
      <x:c r="I839" s="498"/>
      <x:c r="J839" s="498"/>
      <x:c r="K839" s="498"/>
      <x:c r="L839" s="498"/>
      <x:c r="M839" s="498"/>
    </x:row>
    <x:row r="840" ht="18" customHeight="1">
      <x:c r="A840" s="498"/>
      <x:c r="B840" s="498"/>
      <x:c r="C840" s="498"/>
      <x:c r="D840" s="498"/>
      <x:c r="E840" s="498"/>
      <x:c r="F840" s="498"/>
      <x:c r="G840" s="498"/>
      <x:c r="H840" s="498"/>
      <x:c r="I840" s="498"/>
      <x:c r="J840" s="498"/>
      <x:c r="K840" s="498"/>
      <x:c r="L840" s="498"/>
      <x:c r="M840" s="498"/>
    </x:row>
    <x:row r="841" ht="18" customHeight="1">
      <x:c r="A841" s="498"/>
      <x:c r="B841" s="498"/>
      <x:c r="C841" s="498"/>
      <x:c r="D841" s="498"/>
      <x:c r="E841" s="498"/>
      <x:c r="F841" s="498"/>
      <x:c r="G841" s="498"/>
      <x:c r="H841" s="498"/>
      <x:c r="I841" s="498"/>
      <x:c r="J841" s="498"/>
      <x:c r="K841" s="498"/>
      <x:c r="L841" s="498"/>
      <x:c r="M841" s="498"/>
    </x:row>
    <x:row r="842" ht="18" customHeight="1">
      <x:c r="A842" s="498"/>
      <x:c r="B842" s="498"/>
      <x:c r="C842" s="498"/>
      <x:c r="D842" s="498"/>
      <x:c r="E842" s="498"/>
      <x:c r="F842" s="498"/>
      <x:c r="G842" s="498"/>
      <x:c r="H842" s="498"/>
      <x:c r="I842" s="498"/>
      <x:c r="J842" s="498"/>
      <x:c r="K842" s="498"/>
      <x:c r="L842" s="498"/>
      <x:c r="M842" s="498"/>
    </x:row>
    <x:row r="843" ht="18" customHeight="1">
      <x:c r="A843" s="498"/>
      <x:c r="B843" s="498"/>
      <x:c r="C843" s="498"/>
      <x:c r="D843" s="498"/>
      <x:c r="E843" s="498"/>
      <x:c r="F843" s="498"/>
      <x:c r="G843" s="498"/>
      <x:c r="H843" s="498"/>
      <x:c r="I843" s="498"/>
      <x:c r="J843" s="498"/>
      <x:c r="K843" s="498"/>
      <x:c r="L843" s="498"/>
      <x:c r="M843" s="498"/>
    </x:row>
    <x:row r="844" ht="18" customHeight="1">
      <x:c r="A844" s="498"/>
      <x:c r="B844" s="498"/>
      <x:c r="C844" s="498"/>
      <x:c r="D844" s="498"/>
      <x:c r="E844" s="498"/>
      <x:c r="F844" s="498"/>
      <x:c r="G844" s="498"/>
      <x:c r="H844" s="498"/>
      <x:c r="I844" s="498"/>
      <x:c r="J844" s="498"/>
      <x:c r="K844" s="498"/>
      <x:c r="L844" s="498"/>
      <x:c r="M844" s="498"/>
    </x:row>
    <x:row r="845" ht="18" customHeight="1">
      <x:c r="A845" s="498"/>
      <x:c r="B845" s="498"/>
      <x:c r="C845" s="498"/>
      <x:c r="D845" s="498"/>
      <x:c r="E845" s="498"/>
      <x:c r="F845" s="498"/>
      <x:c r="G845" s="498"/>
      <x:c r="H845" s="498"/>
      <x:c r="I845" s="498"/>
      <x:c r="J845" s="498"/>
      <x:c r="K845" s="498"/>
      <x:c r="L845" s="498"/>
      <x:c r="M845" s="498"/>
    </x:row>
    <x:row r="846" ht="18" customHeight="1">
      <x:c r="A846" s="498"/>
      <x:c r="B846" s="498"/>
      <x:c r="C846" s="498"/>
      <x:c r="D846" s="498"/>
      <x:c r="E846" s="498"/>
      <x:c r="F846" s="498"/>
      <x:c r="G846" s="498"/>
      <x:c r="H846" s="498"/>
      <x:c r="I846" s="498"/>
      <x:c r="J846" s="498"/>
      <x:c r="K846" s="498"/>
      <x:c r="L846" s="498"/>
      <x:c r="M846" s="498"/>
    </x:row>
    <x:row r="847" ht="18" customHeight="1">
      <x:c r="A847" s="498"/>
      <x:c r="B847" s="498"/>
      <x:c r="C847" s="498"/>
      <x:c r="D847" s="498"/>
      <x:c r="E847" s="498"/>
      <x:c r="F847" s="498"/>
      <x:c r="G847" s="498"/>
      <x:c r="H847" s="498"/>
      <x:c r="I847" s="498"/>
      <x:c r="J847" s="498"/>
      <x:c r="K847" s="498"/>
      <x:c r="L847" s="498"/>
      <x:c r="M847" s="498"/>
    </x:row>
    <x:row r="848" ht="18" customHeight="1">
      <x:c r="A848" s="498"/>
      <x:c r="B848" s="498"/>
      <x:c r="C848" s="498"/>
      <x:c r="D848" s="498"/>
      <x:c r="E848" s="498"/>
      <x:c r="F848" s="498"/>
      <x:c r="G848" s="498"/>
      <x:c r="H848" s="498"/>
      <x:c r="I848" s="498"/>
      <x:c r="J848" s="498"/>
      <x:c r="K848" s="498"/>
      <x:c r="L848" s="498"/>
      <x:c r="M848" s="498"/>
    </x:row>
    <x:row r="849" ht="18" customHeight="1">
      <x:c r="A849" s="498"/>
      <x:c r="B849" s="498"/>
      <x:c r="C849" s="498"/>
      <x:c r="D849" s="498"/>
      <x:c r="E849" s="498"/>
      <x:c r="F849" s="498"/>
      <x:c r="G849" s="498"/>
      <x:c r="H849" s="498"/>
      <x:c r="I849" s="498"/>
      <x:c r="J849" s="498"/>
      <x:c r="K849" s="498"/>
      <x:c r="L849" s="498"/>
      <x:c r="M849" s="498"/>
    </x:row>
    <x:row r="850" ht="18" customHeight="1">
      <x:c r="A850" s="498"/>
      <x:c r="B850" s="498"/>
      <x:c r="C850" s="498"/>
      <x:c r="D850" s="498"/>
      <x:c r="E850" s="498"/>
      <x:c r="F850" s="498"/>
      <x:c r="G850" s="498"/>
      <x:c r="H850" s="498"/>
      <x:c r="I850" s="498"/>
      <x:c r="J850" s="498"/>
      <x:c r="K850" s="498"/>
      <x:c r="L850" s="498"/>
      <x:c r="M850" s="498"/>
    </x:row>
    <x:row r="851" ht="18" customHeight="1">
      <x:c r="A851" s="498"/>
      <x:c r="B851" s="498"/>
      <x:c r="C851" s="498"/>
      <x:c r="D851" s="498"/>
      <x:c r="E851" s="498"/>
      <x:c r="F851" s="498"/>
      <x:c r="G851" s="498"/>
      <x:c r="H851" s="498"/>
      <x:c r="I851" s="498"/>
      <x:c r="J851" s="498"/>
      <x:c r="K851" s="498"/>
      <x:c r="L851" s="498"/>
      <x:c r="M851" s="498"/>
    </x:row>
    <x:row r="852" ht="18" customHeight="1">
      <x:c r="A852" s="498"/>
      <x:c r="B852" s="498"/>
      <x:c r="C852" s="498"/>
      <x:c r="D852" s="498"/>
      <x:c r="E852" s="498"/>
      <x:c r="F852" s="498"/>
      <x:c r="G852" s="498"/>
      <x:c r="H852" s="498"/>
      <x:c r="I852" s="498"/>
      <x:c r="J852" s="498"/>
      <x:c r="K852" s="498"/>
      <x:c r="L852" s="498"/>
      <x:c r="M852" s="498"/>
    </x:row>
    <x:row r="853" ht="18" customHeight="1">
      <x:c r="A853" s="498"/>
      <x:c r="B853" s="498"/>
      <x:c r="C853" s="498"/>
      <x:c r="D853" s="498"/>
      <x:c r="E853" s="498"/>
      <x:c r="F853" s="498"/>
      <x:c r="G853" s="498"/>
      <x:c r="H853" s="498"/>
      <x:c r="I853" s="498"/>
      <x:c r="J853" s="498"/>
      <x:c r="K853" s="498"/>
      <x:c r="L853" s="498"/>
      <x:c r="M853" s="498"/>
    </x:row>
    <x:row r="854" ht="18" customHeight="1">
      <x:c r="A854" s="498"/>
      <x:c r="B854" s="498"/>
      <x:c r="C854" s="498"/>
      <x:c r="D854" s="498"/>
      <x:c r="E854" s="498"/>
      <x:c r="F854" s="498"/>
      <x:c r="G854" s="498"/>
      <x:c r="H854" s="498"/>
      <x:c r="I854" s="498"/>
      <x:c r="J854" s="498"/>
      <x:c r="K854" s="498"/>
      <x:c r="L854" s="498"/>
      <x:c r="M854" s="498"/>
    </x:row>
    <x:row r="855" ht="18" customHeight="1">
      <x:c r="A855" s="498"/>
      <x:c r="B855" s="498"/>
      <x:c r="C855" s="498"/>
      <x:c r="D855" s="498"/>
      <x:c r="E855" s="498"/>
      <x:c r="F855" s="498"/>
      <x:c r="G855" s="498"/>
      <x:c r="H855" s="498"/>
      <x:c r="I855" s="498"/>
      <x:c r="J855" s="498"/>
      <x:c r="K855" s="498"/>
      <x:c r="L855" s="498"/>
      <x:c r="M855" s="498"/>
    </x:row>
    <x:row r="856" ht="18" customHeight="1">
      <x:c r="A856" s="498"/>
      <x:c r="B856" s="498"/>
      <x:c r="C856" s="498"/>
      <x:c r="D856" s="498"/>
      <x:c r="E856" s="498"/>
      <x:c r="F856" s="498"/>
      <x:c r="G856" s="498"/>
      <x:c r="H856" s="498"/>
      <x:c r="I856" s="498"/>
      <x:c r="J856" s="498"/>
      <x:c r="K856" s="498"/>
      <x:c r="L856" s="498"/>
      <x:c r="M856" s="498"/>
    </x:row>
    <x:row r="857" ht="18" customHeight="1">
      <x:c r="A857" s="498"/>
      <x:c r="B857" s="498"/>
      <x:c r="C857" s="498"/>
      <x:c r="D857" s="498"/>
      <x:c r="E857" s="498"/>
      <x:c r="F857" s="498"/>
      <x:c r="G857" s="498"/>
      <x:c r="H857" s="498"/>
      <x:c r="I857" s="498"/>
      <x:c r="J857" s="498"/>
      <x:c r="K857" s="498"/>
      <x:c r="L857" s="498"/>
      <x:c r="M857" s="498"/>
    </x:row>
    <x:row r="858" ht="18" customHeight="1">
      <x:c r="A858" s="498"/>
      <x:c r="B858" s="498"/>
      <x:c r="C858" s="498"/>
      <x:c r="D858" s="498"/>
      <x:c r="E858" s="498"/>
      <x:c r="F858" s="498"/>
      <x:c r="G858" s="498"/>
      <x:c r="H858" s="498"/>
      <x:c r="I858" s="498"/>
      <x:c r="J858" s="498"/>
      <x:c r="K858" s="498"/>
      <x:c r="L858" s="498"/>
      <x:c r="M858" s="498"/>
    </x:row>
    <x:row r="859" ht="18" customHeight="1">
      <x:c r="A859" s="498"/>
      <x:c r="B859" s="498"/>
      <x:c r="C859" s="498"/>
      <x:c r="D859" s="498"/>
      <x:c r="E859" s="498"/>
      <x:c r="F859" s="498"/>
      <x:c r="G859" s="498"/>
      <x:c r="H859" s="498"/>
      <x:c r="I859" s="498"/>
      <x:c r="J859" s="498"/>
      <x:c r="K859" s="498"/>
      <x:c r="L859" s="498"/>
      <x:c r="M859" s="498"/>
    </x:row>
    <x:row r="860" ht="18" customHeight="1">
      <x:c r="A860" s="498"/>
      <x:c r="B860" s="498"/>
      <x:c r="C860" s="498"/>
      <x:c r="D860" s="498"/>
      <x:c r="E860" s="498"/>
      <x:c r="F860" s="498"/>
      <x:c r="G860" s="498"/>
      <x:c r="H860" s="498"/>
      <x:c r="I860" s="498"/>
      <x:c r="J860" s="498"/>
      <x:c r="K860" s="498"/>
      <x:c r="L860" s="498"/>
      <x:c r="M860" s="498"/>
    </x:row>
    <x:row r="861" ht="18" customHeight="1">
      <x:c r="A861" s="498"/>
      <x:c r="B861" s="498"/>
      <x:c r="C861" s="498"/>
      <x:c r="D861" s="498"/>
      <x:c r="E861" s="498"/>
      <x:c r="F861" s="498"/>
      <x:c r="G861" s="498"/>
      <x:c r="H861" s="498"/>
      <x:c r="I861" s="498"/>
      <x:c r="J861" s="498"/>
      <x:c r="K861" s="498"/>
      <x:c r="L861" s="498"/>
      <x:c r="M861" s="498"/>
    </x:row>
    <x:row r="862" ht="18" customHeight="1">
      <x:c r="A862" s="498"/>
      <x:c r="B862" s="498"/>
      <x:c r="C862" s="498"/>
      <x:c r="D862" s="498"/>
      <x:c r="E862" s="498"/>
      <x:c r="F862" s="498"/>
      <x:c r="G862" s="498"/>
      <x:c r="H862" s="498"/>
      <x:c r="I862" s="498"/>
      <x:c r="J862" s="498"/>
      <x:c r="K862" s="498"/>
      <x:c r="L862" s="498"/>
      <x:c r="M862" s="498"/>
    </x:row>
    <x:row r="863" ht="18" customHeight="1">
      <x:c r="A863" s="498"/>
      <x:c r="B863" s="498"/>
      <x:c r="C863" s="498"/>
      <x:c r="D863" s="498"/>
      <x:c r="E863" s="498"/>
      <x:c r="F863" s="498"/>
      <x:c r="G863" s="498"/>
      <x:c r="H863" s="498"/>
      <x:c r="I863" s="498"/>
      <x:c r="J863" s="498"/>
      <x:c r="K863" s="498"/>
      <x:c r="L863" s="498"/>
      <x:c r="M863" s="498"/>
    </x:row>
    <x:row r="864" ht="18" customHeight="1">
      <x:c r="A864" s="498"/>
      <x:c r="B864" s="498"/>
      <x:c r="C864" s="498"/>
      <x:c r="D864" s="498"/>
      <x:c r="E864" s="498"/>
      <x:c r="F864" s="498"/>
      <x:c r="G864" s="498"/>
      <x:c r="H864" s="498"/>
      <x:c r="I864" s="498"/>
      <x:c r="J864" s="498"/>
      <x:c r="K864" s="498"/>
      <x:c r="L864" s="498"/>
      <x:c r="M864" s="498"/>
    </x:row>
    <x:row r="865" ht="18" customHeight="1">
      <x:c r="A865" s="498"/>
      <x:c r="B865" s="498"/>
      <x:c r="C865" s="498"/>
      <x:c r="D865" s="498"/>
      <x:c r="E865" s="498"/>
      <x:c r="F865" s="498"/>
      <x:c r="G865" s="498"/>
      <x:c r="H865" s="498"/>
      <x:c r="I865" s="498"/>
      <x:c r="J865" s="498"/>
      <x:c r="K865" s="498"/>
      <x:c r="L865" s="498"/>
      <x:c r="M865" s="498"/>
    </x:row>
    <x:row r="866" ht="18" customHeight="1">
      <x:c r="A866" s="498"/>
      <x:c r="B866" s="498"/>
      <x:c r="C866" s="498"/>
      <x:c r="D866" s="498"/>
      <x:c r="E866" s="498"/>
      <x:c r="F866" s="498"/>
      <x:c r="G866" s="498"/>
      <x:c r="H866" s="498"/>
      <x:c r="I866" s="498"/>
      <x:c r="J866" s="498"/>
      <x:c r="K866" s="498"/>
      <x:c r="L866" s="498"/>
      <x:c r="M866" s="498"/>
    </x:row>
    <x:row r="867" ht="18" customHeight="1">
      <x:c r="A867" s="498"/>
      <x:c r="B867" s="498"/>
      <x:c r="C867" s="498"/>
      <x:c r="D867" s="498"/>
      <x:c r="E867" s="498"/>
      <x:c r="F867" s="498"/>
      <x:c r="G867" s="498"/>
      <x:c r="H867" s="498"/>
      <x:c r="I867" s="498"/>
      <x:c r="J867" s="498"/>
      <x:c r="K867" s="498"/>
      <x:c r="L867" s="498"/>
      <x:c r="M867" s="498"/>
    </x:row>
    <x:row r="868" ht="18" customHeight="1">
      <x:c r="A868" s="498"/>
      <x:c r="B868" s="498"/>
      <x:c r="C868" s="498"/>
      <x:c r="D868" s="498"/>
      <x:c r="E868" s="498"/>
      <x:c r="F868" s="498"/>
      <x:c r="G868" s="498"/>
      <x:c r="H868" s="498"/>
      <x:c r="I868" s="498"/>
      <x:c r="J868" s="498"/>
      <x:c r="K868" s="498"/>
      <x:c r="L868" s="498"/>
      <x:c r="M868" s="498"/>
    </x:row>
    <x:row r="869" ht="18" customHeight="1">
      <x:c r="A869" s="498"/>
      <x:c r="B869" s="498"/>
      <x:c r="C869" s="498"/>
      <x:c r="D869" s="498"/>
      <x:c r="E869" s="498"/>
      <x:c r="F869" s="498"/>
      <x:c r="G869" s="498"/>
      <x:c r="H869" s="498"/>
      <x:c r="I869" s="498"/>
      <x:c r="J869" s="498"/>
      <x:c r="K869" s="498"/>
      <x:c r="L869" s="498"/>
      <x:c r="M869" s="498"/>
    </x:row>
    <x:row r="870" ht="18" customHeight="1">
      <x:c r="A870" s="498"/>
      <x:c r="B870" s="498"/>
      <x:c r="C870" s="498"/>
      <x:c r="D870" s="498"/>
      <x:c r="E870" s="498"/>
      <x:c r="F870" s="498"/>
      <x:c r="G870" s="498"/>
      <x:c r="H870" s="498"/>
      <x:c r="I870" s="498"/>
      <x:c r="J870" s="498"/>
      <x:c r="K870" s="498"/>
      <x:c r="L870" s="498"/>
      <x:c r="M870" s="498"/>
    </x:row>
    <x:row r="871" ht="18" customHeight="1">
      <x:c r="A871" s="498"/>
      <x:c r="B871" s="498"/>
      <x:c r="C871" s="498"/>
      <x:c r="D871" s="498"/>
      <x:c r="E871" s="498"/>
      <x:c r="F871" s="498"/>
      <x:c r="G871" s="498"/>
      <x:c r="H871" s="498"/>
      <x:c r="I871" s="498"/>
      <x:c r="J871" s="498"/>
      <x:c r="K871" s="498"/>
      <x:c r="L871" s="498"/>
      <x:c r="M871" s="498"/>
    </x:row>
    <x:row r="872" ht="18" customHeight="1">
      <x:c r="A872" s="498"/>
      <x:c r="B872" s="498"/>
      <x:c r="C872" s="498"/>
      <x:c r="D872" s="498"/>
      <x:c r="E872" s="498"/>
      <x:c r="F872" s="498"/>
      <x:c r="G872" s="498"/>
      <x:c r="H872" s="498"/>
      <x:c r="I872" s="498"/>
      <x:c r="J872" s="498"/>
      <x:c r="K872" s="498"/>
      <x:c r="L872" s="498"/>
      <x:c r="M872" s="498"/>
    </x:row>
    <x:row r="873" ht="18" customHeight="1">
      <x:c r="A873" s="498"/>
      <x:c r="B873" s="498"/>
      <x:c r="C873" s="498"/>
      <x:c r="D873" s="498"/>
      <x:c r="E873" s="498"/>
      <x:c r="F873" s="498"/>
      <x:c r="G873" s="498"/>
      <x:c r="H873" s="498"/>
      <x:c r="I873" s="498"/>
      <x:c r="J873" s="498"/>
      <x:c r="K873" s="498"/>
      <x:c r="L873" s="498"/>
      <x:c r="M873" s="498"/>
    </x:row>
    <x:row r="874" ht="18" customHeight="1">
      <x:c r="A874" s="498"/>
      <x:c r="B874" s="498"/>
      <x:c r="C874" s="498"/>
      <x:c r="D874" s="498"/>
      <x:c r="E874" s="498"/>
      <x:c r="F874" s="498"/>
      <x:c r="G874" s="498"/>
      <x:c r="H874" s="498"/>
      <x:c r="I874" s="498"/>
      <x:c r="J874" s="498"/>
      <x:c r="K874" s="498"/>
      <x:c r="L874" s="498"/>
      <x:c r="M874" s="498"/>
    </x:row>
    <x:row r="875" ht="18" customHeight="1">
      <x:c r="A875" s="498"/>
      <x:c r="B875" s="498"/>
      <x:c r="C875" s="498"/>
      <x:c r="D875" s="498"/>
      <x:c r="E875" s="498"/>
      <x:c r="F875" s="498"/>
      <x:c r="G875" s="498"/>
      <x:c r="H875" s="498"/>
      <x:c r="I875" s="498"/>
      <x:c r="J875" s="498"/>
      <x:c r="K875" s="498"/>
      <x:c r="L875" s="498"/>
      <x:c r="M875" s="498"/>
    </x:row>
    <x:row r="876" ht="18" customHeight="1">
      <x:c r="A876" s="498"/>
      <x:c r="B876" s="498"/>
      <x:c r="C876" s="498"/>
      <x:c r="D876" s="498"/>
      <x:c r="E876" s="498"/>
      <x:c r="F876" s="498"/>
      <x:c r="G876" s="498"/>
      <x:c r="H876" s="498"/>
      <x:c r="I876" s="498"/>
      <x:c r="J876" s="498"/>
      <x:c r="K876" s="498"/>
      <x:c r="L876" s="498"/>
      <x:c r="M876" s="498"/>
    </x:row>
    <x:row r="877" ht="18" customHeight="1">
      <x:c r="A877" s="498"/>
      <x:c r="B877" s="498"/>
      <x:c r="C877" s="498"/>
      <x:c r="D877" s="498"/>
      <x:c r="E877" s="498"/>
      <x:c r="F877" s="498"/>
      <x:c r="G877" s="498"/>
      <x:c r="H877" s="498"/>
      <x:c r="I877" s="498"/>
      <x:c r="J877" s="498"/>
      <x:c r="K877" s="498"/>
      <x:c r="L877" s="498"/>
      <x:c r="M877" s="498"/>
    </x:row>
    <x:row r="878" ht="18" customHeight="1">
      <x:c r="A878" s="498"/>
      <x:c r="B878" s="498"/>
      <x:c r="C878" s="498"/>
      <x:c r="D878" s="498"/>
      <x:c r="E878" s="498"/>
      <x:c r="F878" s="498"/>
      <x:c r="G878" s="498"/>
      <x:c r="H878" s="498"/>
      <x:c r="I878" s="498"/>
      <x:c r="J878" s="498"/>
      <x:c r="K878" s="498"/>
      <x:c r="L878" s="498"/>
      <x:c r="M878" s="498"/>
    </x:row>
    <x:row r="879" ht="18" customHeight="1">
      <x:c r="A879" s="498"/>
      <x:c r="B879" s="498"/>
      <x:c r="C879" s="498"/>
      <x:c r="D879" s="498"/>
      <x:c r="E879" s="498"/>
      <x:c r="F879" s="498"/>
      <x:c r="G879" s="498"/>
      <x:c r="H879" s="498"/>
      <x:c r="I879" s="498"/>
      <x:c r="J879" s="498"/>
      <x:c r="K879" s="498"/>
      <x:c r="L879" s="498"/>
      <x:c r="M879" s="498"/>
    </x:row>
    <x:row r="880" ht="18" customHeight="1">
      <x:c r="A880" s="498"/>
      <x:c r="B880" s="498"/>
      <x:c r="C880" s="498"/>
      <x:c r="D880" s="498"/>
      <x:c r="E880" s="498"/>
      <x:c r="F880" s="498"/>
      <x:c r="G880" s="498"/>
      <x:c r="H880" s="498"/>
      <x:c r="I880" s="498"/>
      <x:c r="J880" s="498"/>
      <x:c r="K880" s="498"/>
      <x:c r="L880" s="498"/>
      <x:c r="M880" s="498"/>
    </x:row>
    <x:row r="881" ht="18" customHeight="1">
      <x:c r="A881" s="498"/>
      <x:c r="B881" s="498"/>
      <x:c r="C881" s="498"/>
      <x:c r="D881" s="498"/>
      <x:c r="E881" s="498"/>
      <x:c r="F881" s="498"/>
      <x:c r="G881" s="498"/>
      <x:c r="H881" s="498"/>
      <x:c r="I881" s="498"/>
      <x:c r="J881" s="498"/>
      <x:c r="K881" s="498"/>
      <x:c r="L881" s="498"/>
      <x:c r="M881" s="498"/>
    </x:row>
    <x:row r="882" ht="18" customHeight="1">
      <x:c r="A882" s="498"/>
      <x:c r="B882" s="498"/>
      <x:c r="C882" s="498"/>
      <x:c r="D882" s="498"/>
      <x:c r="E882" s="498"/>
      <x:c r="F882" s="498"/>
      <x:c r="G882" s="498"/>
      <x:c r="H882" s="498"/>
      <x:c r="I882" s="498"/>
      <x:c r="J882" s="498"/>
      <x:c r="K882" s="498"/>
      <x:c r="L882" s="498"/>
      <x:c r="M882" s="498"/>
    </x:row>
    <x:row r="883" ht="18" customHeight="1">
      <x:c r="A883" s="498"/>
      <x:c r="B883" s="498"/>
      <x:c r="C883" s="498"/>
      <x:c r="D883" s="498"/>
      <x:c r="E883" s="498"/>
      <x:c r="F883" s="498"/>
      <x:c r="G883" s="498"/>
      <x:c r="H883" s="498"/>
      <x:c r="I883" s="498"/>
      <x:c r="J883" s="498"/>
      <x:c r="K883" s="498"/>
      <x:c r="L883" s="498"/>
      <x:c r="M883" s="498"/>
    </x:row>
    <x:row r="884" ht="18" customHeight="1">
      <x:c r="A884" s="498"/>
      <x:c r="B884" s="498"/>
      <x:c r="C884" s="498"/>
      <x:c r="D884" s="498"/>
      <x:c r="E884" s="498"/>
      <x:c r="F884" s="498"/>
      <x:c r="G884" s="498"/>
      <x:c r="H884" s="498"/>
      <x:c r="I884" s="498"/>
      <x:c r="J884" s="498"/>
      <x:c r="K884" s="498"/>
      <x:c r="L884" s="498"/>
      <x:c r="M884" s="498"/>
    </x:row>
    <x:row r="885" ht="18" customHeight="1">
      <x:c r="A885" s="498"/>
      <x:c r="B885" s="498"/>
      <x:c r="C885" s="498"/>
      <x:c r="D885" s="498"/>
      <x:c r="E885" s="498"/>
      <x:c r="F885" s="498"/>
      <x:c r="G885" s="498"/>
      <x:c r="H885" s="498"/>
      <x:c r="I885" s="498"/>
      <x:c r="J885" s="498"/>
      <x:c r="K885" s="498"/>
      <x:c r="L885" s="498"/>
      <x:c r="M885" s="498"/>
    </x:row>
    <x:row r="886" ht="18" customHeight="1">
      <x:c r="A886" s="498"/>
      <x:c r="B886" s="498"/>
      <x:c r="C886" s="498"/>
      <x:c r="D886" s="498"/>
      <x:c r="E886" s="498"/>
      <x:c r="F886" s="498"/>
      <x:c r="G886" s="498"/>
      <x:c r="H886" s="498"/>
      <x:c r="I886" s="498"/>
      <x:c r="J886" s="498"/>
      <x:c r="K886" s="498"/>
      <x:c r="L886" s="498"/>
      <x:c r="M886" s="498"/>
    </x:row>
    <x:row r="887" ht="18" customHeight="1">
      <x:c r="A887" s="498"/>
      <x:c r="B887" s="498"/>
      <x:c r="C887" s="498"/>
      <x:c r="D887" s="498"/>
      <x:c r="E887" s="498"/>
      <x:c r="F887" s="498"/>
      <x:c r="G887" s="498"/>
      <x:c r="H887" s="498"/>
      <x:c r="I887" s="498"/>
      <x:c r="J887" s="498"/>
      <x:c r="K887" s="498"/>
      <x:c r="L887" s="498"/>
      <x:c r="M887" s="498"/>
    </x:row>
    <x:row r="888" ht="18" customHeight="1">
      <x:c r="A888" s="498"/>
      <x:c r="B888" s="498"/>
      <x:c r="C888" s="498"/>
      <x:c r="D888" s="498"/>
      <x:c r="E888" s="498"/>
      <x:c r="F888" s="498"/>
      <x:c r="G888" s="498"/>
      <x:c r="H888" s="498"/>
      <x:c r="I888" s="498"/>
      <x:c r="J888" s="498"/>
      <x:c r="K888" s="498"/>
      <x:c r="L888" s="498"/>
      <x:c r="M888" s="498"/>
    </x:row>
    <x:row r="889" ht="18" customHeight="1">
      <x:c r="A889" s="498"/>
      <x:c r="B889" s="498"/>
      <x:c r="C889" s="498"/>
      <x:c r="D889" s="498"/>
      <x:c r="E889" s="498"/>
      <x:c r="F889" s="498"/>
      <x:c r="G889" s="498"/>
      <x:c r="H889" s="498"/>
      <x:c r="I889" s="498"/>
      <x:c r="J889" s="498"/>
      <x:c r="K889" s="498"/>
      <x:c r="L889" s="498"/>
      <x:c r="M889" s="498"/>
    </x:row>
    <x:row r="890" ht="18" customHeight="1">
      <x:c r="A890" s="498"/>
      <x:c r="B890" s="498"/>
      <x:c r="C890" s="498"/>
      <x:c r="D890" s="498"/>
      <x:c r="E890" s="498"/>
      <x:c r="F890" s="498"/>
      <x:c r="G890" s="498"/>
      <x:c r="H890" s="498"/>
      <x:c r="I890" s="498"/>
      <x:c r="J890" s="498"/>
      <x:c r="K890" s="498"/>
      <x:c r="L890" s="498"/>
      <x:c r="M890" s="498"/>
    </x:row>
    <x:row r="891" ht="18" customHeight="1">
      <x:c r="A891" s="498"/>
      <x:c r="B891" s="498"/>
      <x:c r="C891" s="498"/>
      <x:c r="D891" s="498"/>
      <x:c r="E891" s="498"/>
      <x:c r="F891" s="498"/>
      <x:c r="G891" s="498"/>
      <x:c r="H891" s="498"/>
      <x:c r="I891" s="498"/>
      <x:c r="J891" s="498"/>
      <x:c r="K891" s="498"/>
      <x:c r="L891" s="498"/>
      <x:c r="M891" s="498"/>
    </x:row>
    <x:row r="892" ht="18" customHeight="1">
      <x:c r="A892" s="498"/>
      <x:c r="B892" s="498"/>
      <x:c r="C892" s="498"/>
      <x:c r="D892" s="498"/>
      <x:c r="E892" s="498"/>
      <x:c r="F892" s="498"/>
      <x:c r="G892" s="498"/>
      <x:c r="H892" s="498"/>
      <x:c r="I892" s="498"/>
      <x:c r="J892" s="498"/>
      <x:c r="K892" s="498"/>
      <x:c r="L892" s="498"/>
      <x:c r="M892" s="498"/>
    </x:row>
    <x:row r="893" ht="18" customHeight="1">
      <x:c r="A893" s="498"/>
      <x:c r="B893" s="498"/>
      <x:c r="C893" s="498"/>
      <x:c r="D893" s="498"/>
      <x:c r="E893" s="498"/>
      <x:c r="F893" s="498"/>
      <x:c r="G893" s="498"/>
      <x:c r="H893" s="498"/>
      <x:c r="I893" s="498"/>
      <x:c r="J893" s="498"/>
      <x:c r="K893" s="498"/>
      <x:c r="L893" s="498"/>
      <x:c r="M893" s="498"/>
    </x:row>
    <x:row r="894" ht="18" customHeight="1">
      <x:c r="A894" s="498"/>
      <x:c r="B894" s="498"/>
      <x:c r="C894" s="498"/>
      <x:c r="D894" s="498"/>
      <x:c r="E894" s="498"/>
      <x:c r="F894" s="498"/>
      <x:c r="G894" s="498"/>
      <x:c r="H894" s="498"/>
      <x:c r="I894" s="498"/>
      <x:c r="J894" s="498"/>
      <x:c r="K894" s="498"/>
      <x:c r="L894" s="498"/>
      <x:c r="M894" s="498"/>
    </x:row>
    <x:row r="895" ht="18" customHeight="1">
      <x:c r="A895" s="498"/>
      <x:c r="B895" s="498"/>
      <x:c r="C895" s="498"/>
      <x:c r="D895" s="498"/>
      <x:c r="E895" s="498"/>
      <x:c r="F895" s="498"/>
      <x:c r="G895" s="498"/>
      <x:c r="H895" s="498"/>
      <x:c r="I895" s="498"/>
      <x:c r="J895" s="498"/>
      <x:c r="K895" s="498"/>
      <x:c r="L895" s="498"/>
      <x:c r="M895" s="498"/>
    </x:row>
    <x:row r="896" ht="18" customHeight="1">
      <x:c r="A896" s="498"/>
      <x:c r="B896" s="498"/>
      <x:c r="C896" s="498"/>
      <x:c r="D896" s="498"/>
      <x:c r="E896" s="498"/>
      <x:c r="F896" s="498"/>
      <x:c r="G896" s="498"/>
      <x:c r="H896" s="498"/>
      <x:c r="I896" s="498"/>
      <x:c r="J896" s="498"/>
      <x:c r="K896" s="498"/>
      <x:c r="L896" s="498"/>
      <x:c r="M896" s="498"/>
    </x:row>
    <x:row r="897" ht="18" customHeight="1">
      <x:c r="A897" s="498"/>
      <x:c r="B897" s="498"/>
      <x:c r="C897" s="498"/>
      <x:c r="D897" s="498"/>
      <x:c r="E897" s="498"/>
      <x:c r="F897" s="498"/>
      <x:c r="G897" s="498"/>
      <x:c r="H897" s="498"/>
      <x:c r="I897" s="498"/>
      <x:c r="J897" s="498"/>
      <x:c r="K897" s="498"/>
      <x:c r="L897" s="498"/>
      <x:c r="M897" s="498"/>
    </x:row>
    <x:row r="898" ht="18" customHeight="1">
      <x:c r="A898" s="498"/>
      <x:c r="B898" s="498"/>
      <x:c r="C898" s="498"/>
      <x:c r="D898" s="498"/>
      <x:c r="E898" s="498"/>
      <x:c r="F898" s="498"/>
      <x:c r="G898" s="498"/>
      <x:c r="H898" s="498"/>
      <x:c r="I898" s="498"/>
      <x:c r="J898" s="498"/>
      <x:c r="K898" s="498"/>
      <x:c r="L898" s="498"/>
      <x:c r="M898" s="498"/>
    </x:row>
    <x:row r="899" ht="18" customHeight="1">
      <x:c r="A899" s="498"/>
      <x:c r="B899" s="498"/>
      <x:c r="C899" s="498"/>
      <x:c r="D899" s="498"/>
      <x:c r="E899" s="498"/>
      <x:c r="F899" s="498"/>
      <x:c r="G899" s="498"/>
      <x:c r="H899" s="498"/>
      <x:c r="I899" s="498"/>
      <x:c r="J899" s="498"/>
      <x:c r="K899" s="498"/>
      <x:c r="L899" s="498"/>
      <x:c r="M899" s="498"/>
    </x:row>
    <x:row r="900" ht="18" customHeight="1">
      <x:c r="A900" s="498"/>
      <x:c r="B900" s="498"/>
      <x:c r="C900" s="498"/>
      <x:c r="D900" s="498"/>
      <x:c r="E900" s="498"/>
      <x:c r="F900" s="498"/>
      <x:c r="G900" s="498"/>
      <x:c r="H900" s="498"/>
      <x:c r="I900" s="498"/>
      <x:c r="J900" s="498"/>
      <x:c r="K900" s="498"/>
      <x:c r="L900" s="498"/>
      <x:c r="M900" s="498"/>
    </x:row>
    <x:row r="901" ht="18" customHeight="1">
      <x:c r="A901" s="498"/>
      <x:c r="B901" s="498"/>
      <x:c r="C901" s="498"/>
      <x:c r="D901" s="498"/>
      <x:c r="E901" s="498"/>
      <x:c r="F901" s="498"/>
      <x:c r="G901" s="498"/>
      <x:c r="H901" s="498"/>
      <x:c r="I901" s="498"/>
      <x:c r="J901" s="498"/>
      <x:c r="K901" s="498"/>
      <x:c r="L901" s="498"/>
      <x:c r="M901" s="498"/>
    </x:row>
    <x:row r="902" ht="18" customHeight="1">
      <x:c r="A902" s="498"/>
      <x:c r="B902" s="498"/>
      <x:c r="C902" s="498"/>
      <x:c r="D902" s="498"/>
      <x:c r="E902" s="498"/>
      <x:c r="F902" s="498"/>
      <x:c r="G902" s="498"/>
      <x:c r="H902" s="498"/>
      <x:c r="I902" s="498"/>
      <x:c r="J902" s="498"/>
      <x:c r="K902" s="498"/>
      <x:c r="L902" s="498"/>
      <x:c r="M902" s="498"/>
    </x:row>
    <x:row r="903" ht="18" customHeight="1">
      <x:c r="A903" s="498"/>
      <x:c r="B903" s="498"/>
      <x:c r="C903" s="498"/>
      <x:c r="D903" s="498"/>
      <x:c r="E903" s="498"/>
      <x:c r="F903" s="498"/>
      <x:c r="G903" s="498"/>
      <x:c r="H903" s="498"/>
      <x:c r="I903" s="498"/>
      <x:c r="J903" s="498"/>
      <x:c r="K903" s="498"/>
      <x:c r="L903" s="498"/>
      <x:c r="M903" s="498"/>
    </x:row>
    <x:row r="904" ht="18" customHeight="1">
      <x:c r="A904" s="498"/>
      <x:c r="B904" s="498"/>
      <x:c r="C904" s="498"/>
      <x:c r="D904" s="498"/>
      <x:c r="E904" s="498"/>
      <x:c r="F904" s="498"/>
      <x:c r="G904" s="498"/>
      <x:c r="H904" s="498"/>
      <x:c r="I904" s="498"/>
      <x:c r="J904" s="498"/>
      <x:c r="K904" s="498"/>
      <x:c r="L904" s="498"/>
      <x:c r="M904" s="498"/>
    </x:row>
    <x:row r="905" ht="18" customHeight="1">
      <x:c r="A905" s="498"/>
      <x:c r="B905" s="498"/>
      <x:c r="C905" s="498"/>
      <x:c r="D905" s="498"/>
      <x:c r="E905" s="498"/>
      <x:c r="F905" s="498"/>
      <x:c r="G905" s="498"/>
      <x:c r="H905" s="498"/>
      <x:c r="I905" s="498"/>
      <x:c r="J905" s="498"/>
      <x:c r="K905" s="498"/>
      <x:c r="L905" s="498"/>
      <x:c r="M905" s="498"/>
    </x:row>
    <x:row r="906" ht="18" customHeight="1">
      <x:c r="A906" s="498"/>
      <x:c r="B906" s="498"/>
      <x:c r="C906" s="498"/>
      <x:c r="D906" s="498"/>
      <x:c r="E906" s="498"/>
      <x:c r="F906" s="498"/>
      <x:c r="G906" s="498"/>
      <x:c r="H906" s="498"/>
      <x:c r="I906" s="498"/>
      <x:c r="J906" s="498"/>
      <x:c r="K906" s="498"/>
      <x:c r="L906" s="498"/>
      <x:c r="M906" s="498"/>
    </x:row>
    <x:row r="907" ht="18" customHeight="1">
      <x:c r="A907" s="498"/>
      <x:c r="B907" s="498"/>
      <x:c r="C907" s="498"/>
      <x:c r="D907" s="498"/>
      <x:c r="E907" s="498"/>
      <x:c r="F907" s="498"/>
      <x:c r="G907" s="498"/>
      <x:c r="H907" s="498"/>
      <x:c r="I907" s="498"/>
      <x:c r="J907" s="498"/>
      <x:c r="K907" s="498"/>
      <x:c r="L907" s="498"/>
      <x:c r="M907" s="498"/>
    </x:row>
    <x:row r="908" ht="18" customHeight="1">
      <x:c r="A908" s="498"/>
      <x:c r="B908" s="498"/>
      <x:c r="C908" s="498"/>
      <x:c r="D908" s="498"/>
      <x:c r="E908" s="498"/>
      <x:c r="F908" s="498"/>
      <x:c r="G908" s="498"/>
      <x:c r="H908" s="498"/>
      <x:c r="I908" s="498"/>
      <x:c r="J908" s="498"/>
      <x:c r="K908" s="498"/>
      <x:c r="L908" s="498"/>
      <x:c r="M908" s="498"/>
    </x:row>
    <x:row r="909" ht="18" customHeight="1">
      <x:c r="A909" s="498"/>
      <x:c r="B909" s="498"/>
      <x:c r="C909" s="498"/>
      <x:c r="D909" s="498"/>
      <x:c r="E909" s="498"/>
      <x:c r="F909" s="498"/>
      <x:c r="G909" s="498"/>
      <x:c r="H909" s="498"/>
      <x:c r="I909" s="498"/>
      <x:c r="J909" s="498"/>
      <x:c r="K909" s="498"/>
      <x:c r="L909" s="498"/>
      <x:c r="M909" s="498"/>
    </x:row>
    <x:row r="910" ht="18" customHeight="1">
      <x:c r="A910" s="498"/>
      <x:c r="B910" s="498"/>
      <x:c r="C910" s="498"/>
      <x:c r="D910" s="498"/>
      <x:c r="E910" s="498"/>
      <x:c r="F910" s="498"/>
      <x:c r="G910" s="498"/>
      <x:c r="H910" s="498"/>
      <x:c r="I910" s="498"/>
      <x:c r="J910" s="498"/>
      <x:c r="K910" s="498"/>
      <x:c r="L910" s="498"/>
      <x:c r="M910" s="498"/>
    </x:row>
    <x:row r="911" ht="18" customHeight="1">
      <x:c r="A911" s="498"/>
      <x:c r="B911" s="498"/>
      <x:c r="C911" s="498"/>
      <x:c r="D911" s="498"/>
      <x:c r="E911" s="498"/>
      <x:c r="F911" s="498"/>
      <x:c r="G911" s="498"/>
      <x:c r="H911" s="498"/>
      <x:c r="I911" s="498"/>
      <x:c r="J911" s="498"/>
      <x:c r="K911" s="498"/>
      <x:c r="L911" s="498"/>
      <x:c r="M911" s="498"/>
    </x:row>
    <x:row r="912" ht="18" customHeight="1">
      <x:c r="A912" s="498"/>
      <x:c r="B912" s="498"/>
      <x:c r="C912" s="498"/>
      <x:c r="D912" s="498"/>
      <x:c r="E912" s="498"/>
      <x:c r="F912" s="498"/>
      <x:c r="G912" s="498"/>
      <x:c r="H912" s="498"/>
      <x:c r="I912" s="498"/>
      <x:c r="J912" s="498"/>
      <x:c r="K912" s="498"/>
      <x:c r="L912" s="498"/>
      <x:c r="M912" s="498"/>
    </x:row>
    <x:row r="913" ht="18" customHeight="1">
      <x:c r="A913" s="498"/>
      <x:c r="B913" s="498"/>
      <x:c r="C913" s="498"/>
      <x:c r="D913" s="498"/>
      <x:c r="E913" s="498"/>
      <x:c r="F913" s="498"/>
      <x:c r="G913" s="498"/>
      <x:c r="H913" s="498"/>
      <x:c r="I913" s="498"/>
      <x:c r="J913" s="498"/>
      <x:c r="K913" s="498"/>
      <x:c r="L913" s="498"/>
      <x:c r="M913" s="498"/>
    </x:row>
    <x:row r="914" ht="18" customHeight="1">
      <x:c r="A914" s="498"/>
      <x:c r="B914" s="498"/>
      <x:c r="C914" s="498"/>
      <x:c r="D914" s="498"/>
      <x:c r="E914" s="498"/>
      <x:c r="F914" s="498"/>
      <x:c r="G914" s="498"/>
      <x:c r="H914" s="498"/>
      <x:c r="I914" s="498"/>
      <x:c r="J914" s="498"/>
      <x:c r="K914" s="498"/>
      <x:c r="L914" s="498"/>
      <x:c r="M914" s="498"/>
    </x:row>
    <x:row r="915" ht="18" customHeight="1">
      <x:c r="A915" s="498"/>
      <x:c r="B915" s="498"/>
      <x:c r="C915" s="498"/>
      <x:c r="D915" s="498"/>
      <x:c r="E915" s="498"/>
      <x:c r="F915" s="498"/>
      <x:c r="G915" s="498"/>
      <x:c r="H915" s="498"/>
      <x:c r="I915" s="498"/>
      <x:c r="J915" s="498"/>
      <x:c r="K915" s="498"/>
      <x:c r="L915" s="498"/>
      <x:c r="M915" s="498"/>
    </x:row>
    <x:row r="916" ht="18" customHeight="1">
      <x:c r="A916" s="498"/>
      <x:c r="B916" s="498"/>
      <x:c r="C916" s="498"/>
      <x:c r="D916" s="498"/>
      <x:c r="E916" s="498"/>
      <x:c r="F916" s="498"/>
      <x:c r="G916" s="498"/>
      <x:c r="H916" s="498"/>
      <x:c r="I916" s="498"/>
      <x:c r="J916" s="498"/>
      <x:c r="K916" s="498"/>
      <x:c r="L916" s="498"/>
      <x:c r="M916" s="498"/>
    </x:row>
    <x:row r="917" ht="18" customHeight="1">
      <x:c r="A917" s="498"/>
      <x:c r="B917" s="498"/>
      <x:c r="C917" s="498"/>
      <x:c r="D917" s="498"/>
      <x:c r="E917" s="498"/>
      <x:c r="F917" s="498"/>
      <x:c r="G917" s="498"/>
      <x:c r="H917" s="498"/>
      <x:c r="I917" s="498"/>
      <x:c r="J917" s="498"/>
      <x:c r="K917" s="498"/>
      <x:c r="L917" s="498"/>
      <x:c r="M917" s="498"/>
    </x:row>
    <x:row r="918" ht="18" customHeight="1">
      <x:c r="A918" s="498"/>
      <x:c r="B918" s="498"/>
      <x:c r="C918" s="498"/>
      <x:c r="D918" s="498"/>
      <x:c r="E918" s="498"/>
      <x:c r="F918" s="498"/>
      <x:c r="G918" s="498"/>
      <x:c r="H918" s="498"/>
      <x:c r="I918" s="498"/>
      <x:c r="J918" s="498"/>
      <x:c r="K918" s="498"/>
      <x:c r="L918" s="498"/>
      <x:c r="M918" s="498"/>
    </x:row>
    <x:row r="919" ht="18" customHeight="1">
      <x:c r="A919" s="498"/>
      <x:c r="B919" s="498"/>
      <x:c r="C919" s="498"/>
      <x:c r="D919" s="498"/>
      <x:c r="E919" s="498"/>
      <x:c r="F919" s="498"/>
      <x:c r="G919" s="498"/>
      <x:c r="H919" s="498"/>
      <x:c r="I919" s="498"/>
      <x:c r="J919" s="498"/>
      <x:c r="K919" s="498"/>
      <x:c r="L919" s="498"/>
      <x:c r="M919" s="498"/>
    </x:row>
    <x:row r="920" ht="18" customHeight="1">
      <x:c r="A920" s="498"/>
      <x:c r="B920" s="498"/>
      <x:c r="C920" s="498"/>
      <x:c r="D920" s="498"/>
      <x:c r="E920" s="498"/>
      <x:c r="F920" s="498"/>
      <x:c r="G920" s="498"/>
      <x:c r="H920" s="498"/>
      <x:c r="I920" s="498"/>
      <x:c r="J920" s="498"/>
      <x:c r="K920" s="498"/>
      <x:c r="L920" s="498"/>
      <x:c r="M920" s="498"/>
    </x:row>
    <x:row r="921" ht="18" customHeight="1">
      <x:c r="A921" s="498"/>
      <x:c r="B921" s="498"/>
      <x:c r="C921" s="498"/>
      <x:c r="D921" s="498"/>
      <x:c r="E921" s="498"/>
      <x:c r="F921" s="498"/>
      <x:c r="G921" s="498"/>
      <x:c r="H921" s="498"/>
      <x:c r="I921" s="498"/>
      <x:c r="J921" s="498"/>
      <x:c r="K921" s="498"/>
      <x:c r="L921" s="498"/>
      <x:c r="M921" s="498"/>
    </x:row>
    <x:row r="922" ht="18" customHeight="1">
      <x:c r="A922" s="498"/>
      <x:c r="B922" s="498"/>
      <x:c r="C922" s="498"/>
      <x:c r="D922" s="498"/>
      <x:c r="E922" s="498"/>
      <x:c r="F922" s="498"/>
      <x:c r="G922" s="498"/>
      <x:c r="H922" s="498"/>
      <x:c r="I922" s="498"/>
      <x:c r="J922" s="498"/>
      <x:c r="K922" s="498"/>
      <x:c r="L922" s="498"/>
      <x:c r="M922" s="498"/>
    </x:row>
    <x:row r="923" ht="18" customHeight="1">
      <x:c r="A923" s="498"/>
      <x:c r="B923" s="498"/>
      <x:c r="C923" s="498"/>
      <x:c r="D923" s="498"/>
      <x:c r="E923" s="498"/>
      <x:c r="F923" s="498"/>
      <x:c r="G923" s="498"/>
      <x:c r="H923" s="498"/>
      <x:c r="I923" s="498"/>
      <x:c r="J923" s="498"/>
      <x:c r="K923" s="498"/>
      <x:c r="L923" s="498"/>
      <x:c r="M923" s="498"/>
    </x:row>
    <x:row r="924" ht="18" customHeight="1">
      <x:c r="A924" s="498"/>
      <x:c r="B924" s="498"/>
      <x:c r="C924" s="498"/>
      <x:c r="D924" s="498"/>
      <x:c r="E924" s="498"/>
      <x:c r="F924" s="498"/>
      <x:c r="G924" s="498"/>
      <x:c r="H924" s="498"/>
      <x:c r="I924" s="498"/>
      <x:c r="J924" s="498"/>
      <x:c r="K924" s="498"/>
      <x:c r="L924" s="498"/>
      <x:c r="M924" s="498"/>
    </x:row>
    <x:row r="925" ht="18" customHeight="1">
      <x:c r="A925" s="498"/>
      <x:c r="B925" s="498"/>
      <x:c r="C925" s="498"/>
      <x:c r="D925" s="498"/>
      <x:c r="E925" s="498"/>
      <x:c r="F925" s="498"/>
      <x:c r="G925" s="498"/>
      <x:c r="H925" s="498"/>
      <x:c r="I925" s="498"/>
      <x:c r="J925" s="498"/>
      <x:c r="K925" s="498"/>
      <x:c r="L925" s="498"/>
      <x:c r="M925" s="498"/>
    </x:row>
    <x:row r="926" ht="18" customHeight="1">
      <x:c r="A926" s="498"/>
      <x:c r="B926" s="498"/>
      <x:c r="C926" s="498"/>
      <x:c r="D926" s="498"/>
      <x:c r="E926" s="498"/>
      <x:c r="F926" s="498"/>
      <x:c r="G926" s="498"/>
      <x:c r="H926" s="498"/>
      <x:c r="I926" s="498"/>
      <x:c r="J926" s="498"/>
      <x:c r="K926" s="498"/>
      <x:c r="L926" s="498"/>
      <x:c r="M926" s="498"/>
    </x:row>
    <x:row r="927" ht="18" customHeight="1">
      <x:c r="A927" s="498"/>
      <x:c r="B927" s="498"/>
      <x:c r="C927" s="498"/>
      <x:c r="D927" s="498"/>
      <x:c r="E927" s="498"/>
      <x:c r="F927" s="498"/>
      <x:c r="G927" s="498"/>
      <x:c r="H927" s="498"/>
      <x:c r="I927" s="498"/>
      <x:c r="J927" s="498"/>
      <x:c r="K927" s="498"/>
      <x:c r="L927" s="498"/>
      <x:c r="M927" s="498"/>
    </x:row>
    <x:row r="928" ht="18" customHeight="1">
      <x:c r="A928" s="498"/>
      <x:c r="B928" s="498"/>
      <x:c r="C928" s="498"/>
      <x:c r="D928" s="498"/>
      <x:c r="E928" s="498"/>
      <x:c r="F928" s="498"/>
      <x:c r="G928" s="498"/>
      <x:c r="H928" s="498"/>
      <x:c r="I928" s="498"/>
      <x:c r="J928" s="498"/>
      <x:c r="K928" s="498"/>
      <x:c r="L928" s="498"/>
      <x:c r="M928" s="498"/>
    </x:row>
    <x:row r="929" ht="18" customHeight="1">
      <x:c r="A929" s="498"/>
      <x:c r="B929" s="498"/>
      <x:c r="C929" s="498"/>
      <x:c r="D929" s="498"/>
      <x:c r="E929" s="498"/>
      <x:c r="F929" s="498"/>
      <x:c r="G929" s="498"/>
      <x:c r="H929" s="498"/>
      <x:c r="I929" s="498"/>
      <x:c r="J929" s="498"/>
      <x:c r="K929" s="498"/>
      <x:c r="L929" s="498"/>
      <x:c r="M929" s="498"/>
    </x:row>
    <x:row r="930" ht="18" customHeight="1">
      <x:c r="A930" s="498"/>
      <x:c r="B930" s="498"/>
      <x:c r="C930" s="498"/>
      <x:c r="D930" s="498"/>
      <x:c r="E930" s="498"/>
      <x:c r="F930" s="498"/>
      <x:c r="G930" s="498"/>
      <x:c r="H930" s="498"/>
      <x:c r="I930" s="498"/>
      <x:c r="J930" s="498"/>
      <x:c r="K930" s="498"/>
      <x:c r="L930" s="498"/>
      <x:c r="M930" s="498"/>
    </x:row>
    <x:row r="931" ht="18" customHeight="1">
      <x:c r="A931" s="498"/>
      <x:c r="B931" s="498"/>
      <x:c r="C931" s="498"/>
      <x:c r="D931" s="498"/>
      <x:c r="E931" s="498"/>
      <x:c r="F931" s="498"/>
      <x:c r="G931" s="498"/>
      <x:c r="H931" s="498"/>
      <x:c r="I931" s="498"/>
      <x:c r="J931" s="498"/>
      <x:c r="K931" s="498"/>
      <x:c r="L931" s="498"/>
      <x:c r="M931" s="498"/>
    </x:row>
    <x:row r="932" ht="18" customHeight="1">
      <x:c r="A932" s="498"/>
      <x:c r="B932" s="498"/>
      <x:c r="C932" s="498"/>
      <x:c r="D932" s="498"/>
      <x:c r="E932" s="498"/>
      <x:c r="F932" s="498"/>
      <x:c r="G932" s="498"/>
      <x:c r="H932" s="498"/>
      <x:c r="I932" s="498"/>
      <x:c r="J932" s="498"/>
      <x:c r="K932" s="498"/>
      <x:c r="L932" s="498"/>
      <x:c r="M932" s="498"/>
    </x:row>
    <x:row r="933" ht="18" customHeight="1">
      <x:c r="A933" s="498"/>
      <x:c r="B933" s="498"/>
      <x:c r="C933" s="498"/>
      <x:c r="D933" s="498"/>
      <x:c r="E933" s="498"/>
      <x:c r="F933" s="498"/>
      <x:c r="G933" s="498"/>
      <x:c r="H933" s="498"/>
      <x:c r="I933" s="498"/>
      <x:c r="J933" s="498"/>
      <x:c r="K933" s="498"/>
      <x:c r="L933" s="498"/>
      <x:c r="M933" s="498"/>
    </x:row>
    <x:row r="934" ht="18" customHeight="1">
      <x:c r="A934" s="498"/>
      <x:c r="B934" s="498"/>
      <x:c r="C934" s="498"/>
      <x:c r="D934" s="498"/>
      <x:c r="E934" s="498"/>
      <x:c r="F934" s="498"/>
      <x:c r="G934" s="498"/>
      <x:c r="H934" s="498"/>
      <x:c r="I934" s="498"/>
      <x:c r="J934" s="498"/>
      <x:c r="K934" s="498"/>
      <x:c r="L934" s="498"/>
      <x:c r="M934" s="498"/>
    </x:row>
    <x:row r="935" ht="18" customHeight="1">
      <x:c r="A935" s="498"/>
      <x:c r="B935" s="498"/>
      <x:c r="C935" s="498"/>
      <x:c r="D935" s="498"/>
      <x:c r="E935" s="498"/>
      <x:c r="F935" s="498"/>
      <x:c r="G935" s="498"/>
      <x:c r="H935" s="498"/>
      <x:c r="I935" s="498"/>
      <x:c r="J935" s="498"/>
      <x:c r="K935" s="498"/>
      <x:c r="L935" s="498"/>
      <x:c r="M935" s="498"/>
    </x:row>
    <x:row r="936" ht="18" customHeight="1">
      <x:c r="A936" s="498"/>
      <x:c r="B936" s="498"/>
      <x:c r="C936" s="498"/>
      <x:c r="D936" s="498"/>
      <x:c r="E936" s="498"/>
      <x:c r="F936" s="498"/>
      <x:c r="G936" s="498"/>
      <x:c r="H936" s="498"/>
      <x:c r="I936" s="498"/>
      <x:c r="J936" s="498"/>
      <x:c r="K936" s="498"/>
      <x:c r="L936" s="498"/>
      <x:c r="M936" s="498"/>
    </x:row>
    <x:row r="937" ht="18" customHeight="1">
      <x:c r="A937" s="498"/>
      <x:c r="B937" s="498"/>
      <x:c r="C937" s="498"/>
      <x:c r="D937" s="498"/>
      <x:c r="E937" s="498"/>
      <x:c r="F937" s="498"/>
      <x:c r="G937" s="498"/>
      <x:c r="H937" s="498"/>
      <x:c r="I937" s="498"/>
      <x:c r="J937" s="498"/>
      <x:c r="K937" s="498"/>
      <x:c r="L937" s="498"/>
      <x:c r="M937" s="498"/>
    </x:row>
    <x:row r="938" ht="18" customHeight="1">
      <x:c r="A938" s="498"/>
      <x:c r="B938" s="498"/>
      <x:c r="C938" s="498"/>
      <x:c r="D938" s="498"/>
      <x:c r="E938" s="498"/>
      <x:c r="F938" s="498"/>
      <x:c r="G938" s="498"/>
      <x:c r="H938" s="498"/>
      <x:c r="I938" s="498"/>
      <x:c r="J938" s="498"/>
      <x:c r="K938" s="498"/>
      <x:c r="L938" s="498"/>
      <x:c r="M938" s="498"/>
    </x:row>
    <x:row r="939" ht="18" customHeight="1">
      <x:c r="A939" s="498"/>
      <x:c r="B939" s="498"/>
      <x:c r="C939" s="498"/>
      <x:c r="D939" s="498"/>
      <x:c r="E939" s="498"/>
      <x:c r="F939" s="498"/>
      <x:c r="G939" s="498"/>
      <x:c r="H939" s="498"/>
      <x:c r="I939" s="498"/>
      <x:c r="J939" s="498"/>
      <x:c r="K939" s="498"/>
      <x:c r="L939" s="498"/>
      <x:c r="M939" s="498"/>
    </x:row>
    <x:row r="940" ht="18" customHeight="1">
      <x:c r="A940" s="498"/>
      <x:c r="B940" s="498"/>
      <x:c r="C940" s="498"/>
      <x:c r="D940" s="498"/>
      <x:c r="E940" s="498"/>
      <x:c r="F940" s="498"/>
      <x:c r="G940" s="498"/>
      <x:c r="H940" s="498"/>
      <x:c r="I940" s="498"/>
      <x:c r="J940" s="498"/>
      <x:c r="K940" s="498"/>
      <x:c r="L940" s="498"/>
      <x:c r="M940" s="498"/>
    </x:row>
    <x:row r="941" ht="18" customHeight="1">
      <x:c r="A941" s="498"/>
      <x:c r="B941" s="498"/>
      <x:c r="C941" s="498"/>
      <x:c r="D941" s="498"/>
      <x:c r="E941" s="498"/>
      <x:c r="F941" s="498"/>
      <x:c r="G941" s="498"/>
      <x:c r="H941" s="498"/>
      <x:c r="I941" s="498"/>
      <x:c r="J941" s="498"/>
      <x:c r="K941" s="498"/>
      <x:c r="L941" s="498"/>
      <x:c r="M941" s="498"/>
    </x:row>
    <x:row r="942" ht="18" customHeight="1">
      <x:c r="A942" s="498"/>
      <x:c r="B942" s="498"/>
      <x:c r="C942" s="498"/>
      <x:c r="D942" s="498"/>
      <x:c r="E942" s="498"/>
      <x:c r="F942" s="498"/>
      <x:c r="G942" s="498"/>
      <x:c r="H942" s="498"/>
      <x:c r="I942" s="498"/>
      <x:c r="J942" s="498"/>
      <x:c r="K942" s="498"/>
      <x:c r="L942" s="498"/>
      <x:c r="M942" s="498"/>
    </x:row>
    <x:row r="943" ht="18" customHeight="1">
      <x:c r="A943" s="498"/>
      <x:c r="B943" s="498"/>
      <x:c r="C943" s="498"/>
      <x:c r="D943" s="498"/>
      <x:c r="E943" s="498"/>
      <x:c r="F943" s="498"/>
      <x:c r="G943" s="498"/>
      <x:c r="H943" s="498"/>
      <x:c r="I943" s="498"/>
      <x:c r="J943" s="498"/>
      <x:c r="K943" s="498"/>
      <x:c r="L943" s="498"/>
      <x:c r="M943" s="498"/>
    </x:row>
    <x:row r="944" ht="18" customHeight="1">
      <x:c r="A944" s="498"/>
      <x:c r="B944" s="498"/>
      <x:c r="C944" s="498"/>
      <x:c r="D944" s="498"/>
      <x:c r="E944" s="498"/>
      <x:c r="F944" s="498"/>
      <x:c r="G944" s="498"/>
      <x:c r="H944" s="498"/>
      <x:c r="I944" s="498"/>
      <x:c r="J944" s="498"/>
      <x:c r="K944" s="498"/>
      <x:c r="L944" s="498"/>
      <x:c r="M944" s="498"/>
    </x:row>
    <x:row r="945" ht="18" customHeight="1">
      <x:c r="A945" s="498"/>
      <x:c r="B945" s="498"/>
      <x:c r="C945" s="498"/>
      <x:c r="D945" s="498"/>
      <x:c r="E945" s="498"/>
      <x:c r="F945" s="498"/>
      <x:c r="G945" s="498"/>
      <x:c r="H945" s="498"/>
      <x:c r="I945" s="498"/>
      <x:c r="J945" s="498"/>
      <x:c r="K945" s="498"/>
      <x:c r="L945" s="498"/>
      <x:c r="M945" s="498"/>
    </x:row>
    <x:row r="946" ht="18" customHeight="1">
      <x:c r="A946" s="498"/>
      <x:c r="B946" s="498"/>
      <x:c r="C946" s="498"/>
      <x:c r="D946" s="498"/>
      <x:c r="E946" s="498"/>
      <x:c r="F946" s="498"/>
      <x:c r="G946" s="498"/>
      <x:c r="H946" s="498"/>
      <x:c r="I946" s="498"/>
      <x:c r="J946" s="498"/>
      <x:c r="K946" s="498"/>
      <x:c r="L946" s="498"/>
      <x:c r="M946" s="498"/>
    </x:row>
    <x:row r="947" ht="18" customHeight="1">
      <x:c r="A947" s="498"/>
      <x:c r="B947" s="498"/>
      <x:c r="C947" s="498"/>
      <x:c r="D947" s="498"/>
      <x:c r="E947" s="498"/>
      <x:c r="F947" s="498"/>
      <x:c r="G947" s="498"/>
      <x:c r="H947" s="498"/>
      <x:c r="I947" s="498"/>
      <x:c r="J947" s="498"/>
      <x:c r="K947" s="498"/>
      <x:c r="L947" s="498"/>
      <x:c r="M947" s="498"/>
    </x:row>
    <x:row r="948" ht="18" customHeight="1">
      <x:c r="A948" s="498"/>
      <x:c r="B948" s="498"/>
      <x:c r="C948" s="498"/>
      <x:c r="D948" s="498"/>
      <x:c r="E948" s="498"/>
      <x:c r="F948" s="498"/>
      <x:c r="G948" s="498"/>
      <x:c r="H948" s="498"/>
      <x:c r="I948" s="498"/>
      <x:c r="J948" s="498"/>
      <x:c r="K948" s="498"/>
      <x:c r="L948" s="498"/>
      <x:c r="M948" s="498"/>
    </x:row>
    <x:row r="949" ht="18" customHeight="1">
      <x:c r="A949" s="498"/>
      <x:c r="B949" s="498"/>
      <x:c r="C949" s="498"/>
      <x:c r="D949" s="498"/>
      <x:c r="E949" s="498"/>
      <x:c r="F949" s="498"/>
      <x:c r="G949" s="498"/>
      <x:c r="H949" s="498"/>
      <x:c r="I949" s="498"/>
      <x:c r="J949" s="498"/>
      <x:c r="K949" s="498"/>
      <x:c r="L949" s="498"/>
      <x:c r="M949" s="498"/>
    </x:row>
    <x:row r="950" ht="18" customHeight="1">
      <x:c r="A950" s="498"/>
      <x:c r="B950" s="498"/>
      <x:c r="C950" s="498"/>
      <x:c r="D950" s="498"/>
      <x:c r="E950" s="498"/>
      <x:c r="F950" s="498"/>
      <x:c r="G950" s="498"/>
      <x:c r="H950" s="498"/>
      <x:c r="I950" s="498"/>
      <x:c r="J950" s="498"/>
      <x:c r="K950" s="498"/>
      <x:c r="L950" s="498"/>
      <x:c r="M950" s="498"/>
    </x:row>
    <x:row r="951" ht="18" customHeight="1">
      <x:c r="A951" s="498"/>
      <x:c r="B951" s="498"/>
      <x:c r="C951" s="498"/>
      <x:c r="D951" s="498"/>
      <x:c r="E951" s="498"/>
      <x:c r="F951" s="498"/>
      <x:c r="G951" s="498"/>
      <x:c r="H951" s="498"/>
      <x:c r="I951" s="498"/>
      <x:c r="J951" s="498"/>
      <x:c r="K951" s="498"/>
      <x:c r="L951" s="498"/>
      <x:c r="M951" s="498"/>
    </x:row>
    <x:row r="952" ht="18" customHeight="1">
      <x:c r="A952" s="498"/>
      <x:c r="B952" s="498"/>
      <x:c r="C952" s="498"/>
      <x:c r="D952" s="498"/>
      <x:c r="E952" s="498"/>
      <x:c r="F952" s="498"/>
      <x:c r="G952" s="498"/>
      <x:c r="H952" s="498"/>
      <x:c r="I952" s="498"/>
      <x:c r="J952" s="498"/>
      <x:c r="K952" s="498"/>
      <x:c r="L952" s="498"/>
      <x:c r="M952" s="498"/>
    </x:row>
    <x:row r="953" ht="18" customHeight="1">
      <x:c r="A953" s="498"/>
      <x:c r="B953" s="498"/>
      <x:c r="C953" s="498"/>
      <x:c r="D953" s="498"/>
      <x:c r="E953" s="498"/>
      <x:c r="F953" s="498"/>
      <x:c r="G953" s="498"/>
      <x:c r="H953" s="498"/>
      <x:c r="I953" s="498"/>
      <x:c r="J953" s="498"/>
      <x:c r="K953" s="498"/>
      <x:c r="L953" s="498"/>
      <x:c r="M953" s="498"/>
    </x:row>
    <x:row r="954" ht="18" customHeight="1">
      <x:c r="A954" s="498"/>
      <x:c r="B954" s="498"/>
      <x:c r="C954" s="498"/>
      <x:c r="D954" s="498"/>
      <x:c r="E954" s="498"/>
      <x:c r="F954" s="498"/>
      <x:c r="G954" s="498"/>
      <x:c r="H954" s="498"/>
      <x:c r="I954" s="498"/>
      <x:c r="J954" s="498"/>
      <x:c r="K954" s="498"/>
      <x:c r="L954" s="498"/>
      <x:c r="M954" s="498"/>
    </x:row>
    <x:row r="955" ht="18" customHeight="1">
      <x:c r="A955" s="498"/>
      <x:c r="B955" s="498"/>
      <x:c r="C955" s="498"/>
      <x:c r="D955" s="498"/>
      <x:c r="E955" s="498"/>
      <x:c r="F955" s="498"/>
      <x:c r="G955" s="498"/>
      <x:c r="H955" s="498"/>
      <x:c r="I955" s="498"/>
      <x:c r="J955" s="498"/>
      <x:c r="K955" s="498"/>
      <x:c r="L955" s="498"/>
      <x:c r="M955" s="498"/>
    </x:row>
    <x:row r="956" ht="18" customHeight="1">
      <x:c r="A956" s="498"/>
      <x:c r="B956" s="498"/>
      <x:c r="C956" s="498"/>
      <x:c r="D956" s="498"/>
      <x:c r="E956" s="498"/>
      <x:c r="F956" s="498"/>
      <x:c r="G956" s="498"/>
      <x:c r="H956" s="498"/>
      <x:c r="I956" s="498"/>
      <x:c r="J956" s="498"/>
      <x:c r="K956" s="498"/>
      <x:c r="L956" s="498"/>
      <x:c r="M956" s="498"/>
    </x:row>
    <x:row r="957" ht="18" customHeight="1">
      <x:c r="A957" s="498"/>
      <x:c r="B957" s="498"/>
      <x:c r="C957" s="498"/>
      <x:c r="D957" s="498"/>
      <x:c r="E957" s="498"/>
      <x:c r="F957" s="498"/>
      <x:c r="G957" s="498"/>
      <x:c r="H957" s="498"/>
      <x:c r="I957" s="498"/>
      <x:c r="J957" s="498"/>
      <x:c r="K957" s="498"/>
      <x:c r="L957" s="498"/>
      <x:c r="M957" s="498"/>
    </x:row>
    <x:row r="958" ht="18" customHeight="1">
      <x:c r="A958" s="498"/>
      <x:c r="B958" s="498"/>
      <x:c r="C958" s="498"/>
      <x:c r="D958" s="498"/>
      <x:c r="E958" s="498"/>
      <x:c r="F958" s="498"/>
      <x:c r="G958" s="498"/>
      <x:c r="H958" s="498"/>
      <x:c r="I958" s="498"/>
      <x:c r="J958" s="498"/>
      <x:c r="K958" s="498"/>
      <x:c r="L958" s="498"/>
      <x:c r="M958" s="498"/>
    </x:row>
    <x:row r="959" ht="18" customHeight="1">
      <x:c r="A959" s="498"/>
      <x:c r="B959" s="498"/>
      <x:c r="C959" s="498"/>
      <x:c r="D959" s="498"/>
      <x:c r="E959" s="498"/>
      <x:c r="F959" s="498"/>
      <x:c r="G959" s="498"/>
      <x:c r="H959" s="498"/>
      <x:c r="I959" s="498"/>
      <x:c r="J959" s="498"/>
      <x:c r="K959" s="498"/>
      <x:c r="L959" s="498"/>
      <x:c r="M959" s="498"/>
    </x:row>
    <x:row r="960" ht="18" customHeight="1">
      <x:c r="A960" s="498"/>
      <x:c r="B960" s="498"/>
      <x:c r="C960" s="498"/>
      <x:c r="D960" s="498"/>
      <x:c r="E960" s="498"/>
      <x:c r="F960" s="498"/>
      <x:c r="G960" s="498"/>
      <x:c r="H960" s="498"/>
      <x:c r="I960" s="498"/>
      <x:c r="J960" s="498"/>
      <x:c r="K960" s="498"/>
      <x:c r="L960" s="498"/>
      <x:c r="M960" s="498"/>
    </x:row>
    <x:row r="961" ht="18" customHeight="1">
      <x:c r="A961" s="498"/>
      <x:c r="B961" s="498"/>
      <x:c r="C961" s="498"/>
      <x:c r="D961" s="498"/>
      <x:c r="E961" s="498"/>
      <x:c r="F961" s="498"/>
      <x:c r="G961" s="498"/>
      <x:c r="H961" s="498"/>
      <x:c r="I961" s="498"/>
      <x:c r="J961" s="498"/>
      <x:c r="K961" s="498"/>
      <x:c r="L961" s="498"/>
      <x:c r="M961" s="498"/>
    </x:row>
    <x:row r="962" ht="18" customHeight="1">
      <x:c r="A962" s="498"/>
      <x:c r="B962" s="498"/>
      <x:c r="C962" s="498"/>
      <x:c r="D962" s="498"/>
      <x:c r="E962" s="498"/>
      <x:c r="F962" s="498"/>
      <x:c r="G962" s="498"/>
      <x:c r="H962" s="498"/>
      <x:c r="I962" s="498"/>
      <x:c r="J962" s="498"/>
      <x:c r="K962" s="498"/>
      <x:c r="L962" s="498"/>
      <x:c r="M962" s="498"/>
    </x:row>
    <x:row r="963" ht="18" customHeight="1">
      <x:c r="A963" s="498"/>
      <x:c r="B963" s="498"/>
      <x:c r="C963" s="498"/>
      <x:c r="D963" s="498"/>
      <x:c r="E963" s="498"/>
      <x:c r="F963" s="498"/>
      <x:c r="G963" s="498"/>
      <x:c r="H963" s="498"/>
      <x:c r="I963" s="498"/>
      <x:c r="J963" s="498"/>
      <x:c r="K963" s="498"/>
      <x:c r="L963" s="498"/>
      <x:c r="M963" s="498"/>
    </x:row>
    <x:row r="964" ht="18" customHeight="1">
      <x:c r="A964" s="498"/>
      <x:c r="B964" s="498"/>
      <x:c r="C964" s="498"/>
      <x:c r="D964" s="498"/>
      <x:c r="E964" s="498"/>
      <x:c r="F964" s="498"/>
      <x:c r="G964" s="498"/>
      <x:c r="H964" s="498"/>
      <x:c r="I964" s="498"/>
      <x:c r="J964" s="498"/>
      <x:c r="K964" s="498"/>
      <x:c r="L964" s="498"/>
      <x:c r="M964" s="498"/>
    </x:row>
    <x:row r="965" ht="18" customHeight="1">
      <x:c r="A965" s="498"/>
      <x:c r="B965" s="498"/>
      <x:c r="C965" s="498"/>
      <x:c r="D965" s="498"/>
      <x:c r="E965" s="498"/>
      <x:c r="F965" s="498"/>
      <x:c r="G965" s="498"/>
      <x:c r="H965" s="498"/>
      <x:c r="I965" s="498"/>
      <x:c r="J965" s="498"/>
      <x:c r="K965" s="498"/>
      <x:c r="L965" s="498"/>
      <x:c r="M965" s="498"/>
    </x:row>
    <x:row r="966" ht="18" customHeight="1">
      <x:c r="A966" s="498"/>
      <x:c r="B966" s="498"/>
      <x:c r="C966" s="498"/>
      <x:c r="D966" s="498"/>
      <x:c r="E966" s="498"/>
      <x:c r="F966" s="498"/>
      <x:c r="G966" s="498"/>
      <x:c r="H966" s="498"/>
      <x:c r="I966" s="498"/>
      <x:c r="J966" s="498"/>
      <x:c r="K966" s="498"/>
      <x:c r="L966" s="498"/>
      <x:c r="M966" s="498"/>
    </x:row>
    <x:row r="967" ht="18" customHeight="1">
      <x:c r="A967" s="498"/>
      <x:c r="B967" s="498"/>
      <x:c r="C967" s="498"/>
      <x:c r="D967" s="498"/>
      <x:c r="E967" s="498"/>
      <x:c r="F967" s="498"/>
      <x:c r="G967" s="498"/>
      <x:c r="H967" s="498"/>
      <x:c r="I967" s="498"/>
      <x:c r="J967" s="498"/>
      <x:c r="K967" s="498"/>
      <x:c r="L967" s="498"/>
      <x:c r="M967" s="498"/>
    </x:row>
    <x:row r="968" ht="18" customHeight="1">
      <x:c r="A968" s="498"/>
      <x:c r="B968" s="498"/>
      <x:c r="C968" s="498"/>
      <x:c r="D968" s="498"/>
      <x:c r="E968" s="498"/>
      <x:c r="F968" s="498"/>
      <x:c r="G968" s="498"/>
      <x:c r="H968" s="498"/>
      <x:c r="I968" s="498"/>
      <x:c r="J968" s="498"/>
      <x:c r="K968" s="498"/>
      <x:c r="L968" s="498"/>
      <x:c r="M968" s="498"/>
    </x:row>
    <x:row r="969" ht="18" customHeight="1">
      <x:c r="A969" s="498"/>
      <x:c r="B969" s="498"/>
      <x:c r="C969" s="498"/>
      <x:c r="D969" s="498"/>
      <x:c r="E969" s="498"/>
      <x:c r="F969" s="498"/>
      <x:c r="G969" s="498"/>
      <x:c r="H969" s="498"/>
      <x:c r="I969" s="498"/>
      <x:c r="J969" s="498"/>
      <x:c r="K969" s="498"/>
      <x:c r="L969" s="498"/>
      <x:c r="M969" s="498"/>
    </x:row>
    <x:row r="970" ht="18" customHeight="1">
      <x:c r="A970" s="498"/>
      <x:c r="B970" s="498"/>
      <x:c r="C970" s="498"/>
      <x:c r="D970" s="498"/>
      <x:c r="E970" s="498"/>
      <x:c r="F970" s="498"/>
      <x:c r="G970" s="498"/>
      <x:c r="H970" s="498"/>
      <x:c r="I970" s="498"/>
      <x:c r="J970" s="498"/>
      <x:c r="K970" s="498"/>
      <x:c r="L970" s="498"/>
      <x:c r="M970" s="498"/>
    </x:row>
    <x:row r="971" ht="18" customHeight="1">
      <x:c r="A971" s="498"/>
      <x:c r="B971" s="498"/>
      <x:c r="C971" s="498"/>
      <x:c r="D971" s="498"/>
      <x:c r="E971" s="498"/>
      <x:c r="F971" s="498"/>
      <x:c r="G971" s="498"/>
      <x:c r="H971" s="498"/>
      <x:c r="I971" s="498"/>
      <x:c r="J971" s="498"/>
      <x:c r="K971" s="498"/>
      <x:c r="L971" s="498"/>
      <x:c r="M971" s="498"/>
    </x:row>
    <x:row r="972" ht="18" customHeight="1">
      <x:c r="A972" s="498"/>
      <x:c r="B972" s="498"/>
      <x:c r="C972" s="498"/>
      <x:c r="D972" s="498"/>
      <x:c r="E972" s="498"/>
      <x:c r="F972" s="498"/>
      <x:c r="G972" s="498"/>
      <x:c r="H972" s="498"/>
      <x:c r="I972" s="498"/>
      <x:c r="J972" s="498"/>
      <x:c r="K972" s="498"/>
      <x:c r="L972" s="498"/>
      <x:c r="M972" s="498"/>
    </x:row>
    <x:row r="973" ht="18" customHeight="1">
      <x:c r="A973" s="498"/>
      <x:c r="B973" s="498"/>
      <x:c r="C973" s="498"/>
      <x:c r="D973" s="498"/>
      <x:c r="E973" s="498"/>
      <x:c r="F973" s="498"/>
      <x:c r="G973" s="498"/>
      <x:c r="H973" s="498"/>
      <x:c r="I973" s="498"/>
      <x:c r="J973" s="498"/>
      <x:c r="K973" s="498"/>
      <x:c r="L973" s="498"/>
      <x:c r="M973" s="498"/>
    </x:row>
    <x:row r="974" ht="18" customHeight="1">
      <x:c r="A974" s="498"/>
      <x:c r="B974" s="498"/>
      <x:c r="C974" s="498"/>
      <x:c r="D974" s="498"/>
      <x:c r="E974" s="498"/>
      <x:c r="F974" s="498"/>
      <x:c r="G974" s="498"/>
      <x:c r="H974" s="498"/>
      <x:c r="I974" s="498"/>
      <x:c r="J974" s="498"/>
      <x:c r="K974" s="498"/>
      <x:c r="L974" s="498"/>
      <x:c r="M974" s="498"/>
    </x:row>
    <x:row r="975" ht="18" customHeight="1">
      <x:c r="A975" s="498"/>
      <x:c r="B975" s="498"/>
      <x:c r="C975" s="498"/>
      <x:c r="D975" s="498"/>
      <x:c r="E975" s="498"/>
      <x:c r="F975" s="498"/>
      <x:c r="G975" s="498"/>
      <x:c r="H975" s="498"/>
      <x:c r="I975" s="498"/>
      <x:c r="J975" s="498"/>
      <x:c r="K975" s="498"/>
      <x:c r="L975" s="498"/>
      <x:c r="M975" s="498"/>
    </x:row>
    <x:row r="976" ht="18" customHeight="1">
      <x:c r="A976" s="498"/>
      <x:c r="B976" s="498"/>
      <x:c r="C976" s="498"/>
      <x:c r="D976" s="498"/>
      <x:c r="E976" s="498"/>
      <x:c r="F976" s="498"/>
      <x:c r="G976" s="498"/>
      <x:c r="H976" s="498"/>
      <x:c r="I976" s="498"/>
      <x:c r="J976" s="498"/>
      <x:c r="K976" s="498"/>
      <x:c r="L976" s="498"/>
      <x:c r="M976" s="498"/>
    </x:row>
    <x:row r="977" ht="18" customHeight="1">
      <x:c r="A977" s="498"/>
      <x:c r="B977" s="498"/>
      <x:c r="C977" s="498"/>
      <x:c r="D977" s="498"/>
      <x:c r="E977" s="498"/>
      <x:c r="F977" s="498"/>
      <x:c r="G977" s="498"/>
      <x:c r="H977" s="498"/>
      <x:c r="I977" s="498"/>
      <x:c r="J977" s="498"/>
      <x:c r="K977" s="498"/>
      <x:c r="L977" s="498"/>
      <x:c r="M977" s="498"/>
    </x:row>
    <x:row r="978" ht="18" customHeight="1">
      <x:c r="A978" s="498"/>
      <x:c r="B978" s="498"/>
      <x:c r="C978" s="498"/>
      <x:c r="D978" s="498"/>
      <x:c r="E978" s="498"/>
      <x:c r="F978" s="498"/>
      <x:c r="G978" s="498"/>
      <x:c r="H978" s="498"/>
      <x:c r="I978" s="498"/>
      <x:c r="J978" s="498"/>
      <x:c r="K978" s="498"/>
      <x:c r="L978" s="498"/>
      <x:c r="M978" s="498"/>
    </x:row>
    <x:row r="979" ht="18" customHeight="1">
      <x:c r="A979" s="498"/>
      <x:c r="B979" s="498"/>
      <x:c r="C979" s="498"/>
      <x:c r="D979" s="498"/>
      <x:c r="E979" s="498"/>
      <x:c r="F979" s="498"/>
      <x:c r="G979" s="498"/>
      <x:c r="H979" s="498"/>
      <x:c r="I979" s="498"/>
      <x:c r="J979" s="498"/>
      <x:c r="K979" s="498"/>
      <x:c r="L979" s="498"/>
      <x:c r="M979" s="498"/>
    </x:row>
    <x:row r="980" ht="18" customHeight="1">
      <x:c r="A980" s="498"/>
      <x:c r="B980" s="498"/>
      <x:c r="C980" s="498"/>
      <x:c r="D980" s="498"/>
      <x:c r="E980" s="498"/>
      <x:c r="F980" s="498"/>
      <x:c r="G980" s="498"/>
      <x:c r="H980" s="498"/>
      <x:c r="I980" s="498"/>
      <x:c r="J980" s="498"/>
      <x:c r="K980" s="498"/>
      <x:c r="L980" s="498"/>
      <x:c r="M980" s="498"/>
    </x:row>
    <x:row r="981" ht="18" customHeight="1">
      <x:c r="A981" s="498"/>
      <x:c r="B981" s="498"/>
      <x:c r="C981" s="498"/>
      <x:c r="D981" s="498"/>
      <x:c r="E981" s="498"/>
      <x:c r="F981" s="498"/>
      <x:c r="G981" s="498"/>
      <x:c r="H981" s="498"/>
      <x:c r="I981" s="498"/>
      <x:c r="J981" s="498"/>
      <x:c r="K981" s="498"/>
      <x:c r="L981" s="498"/>
      <x:c r="M981" s="498"/>
    </x:row>
    <x:row r="982" ht="18" customHeight="1">
      <x:c r="A982" s="498"/>
      <x:c r="B982" s="498"/>
      <x:c r="C982" s="498"/>
      <x:c r="D982" s="498"/>
      <x:c r="E982" s="498"/>
      <x:c r="F982" s="498"/>
      <x:c r="G982" s="498"/>
      <x:c r="H982" s="498"/>
      <x:c r="I982" s="498"/>
      <x:c r="J982" s="498"/>
      <x:c r="K982" s="498"/>
      <x:c r="L982" s="498"/>
      <x:c r="M982" s="498"/>
    </x:row>
    <x:row r="983" ht="18" customHeight="1">
      <x:c r="A983" s="498"/>
      <x:c r="B983" s="498"/>
      <x:c r="C983" s="498"/>
      <x:c r="D983" s="498"/>
      <x:c r="E983" s="498"/>
      <x:c r="F983" s="498"/>
      <x:c r="G983" s="498"/>
      <x:c r="H983" s="498"/>
      <x:c r="I983" s="498"/>
      <x:c r="J983" s="498"/>
      <x:c r="K983" s="498"/>
      <x:c r="L983" s="498"/>
      <x:c r="M983" s="498"/>
    </x:row>
    <x:row r="984" ht="18" customHeight="1">
      <x:c r="A984" s="498"/>
      <x:c r="B984" s="498"/>
      <x:c r="C984" s="498"/>
      <x:c r="D984" s="498"/>
      <x:c r="E984" s="498"/>
      <x:c r="F984" s="498"/>
      <x:c r="G984" s="498"/>
      <x:c r="H984" s="498"/>
      <x:c r="I984" s="498"/>
      <x:c r="J984" s="498"/>
      <x:c r="K984" s="498"/>
      <x:c r="L984" s="498"/>
      <x:c r="M984" s="498"/>
    </x:row>
    <x:row r="985" ht="18" customHeight="1">
      <x:c r="A985" s="498"/>
      <x:c r="B985" s="498"/>
      <x:c r="C985" s="498"/>
      <x:c r="D985" s="498"/>
      <x:c r="E985" s="498"/>
      <x:c r="F985" s="498"/>
      <x:c r="G985" s="498"/>
      <x:c r="H985" s="498"/>
      <x:c r="I985" s="498"/>
      <x:c r="J985" s="498"/>
      <x:c r="K985" s="498"/>
      <x:c r="L985" s="498"/>
      <x:c r="M985" s="498"/>
    </x:row>
    <x:row r="986" ht="18" customHeight="1">
      <x:c r="A986" s="498"/>
      <x:c r="B986" s="498"/>
      <x:c r="C986" s="498"/>
      <x:c r="D986" s="498"/>
      <x:c r="E986" s="498"/>
      <x:c r="F986" s="498"/>
      <x:c r="G986" s="498"/>
      <x:c r="H986" s="498"/>
      <x:c r="I986" s="498"/>
      <x:c r="J986" s="498"/>
      <x:c r="K986" s="498"/>
      <x:c r="L986" s="498"/>
      <x:c r="M986" s="498"/>
    </x:row>
    <x:row r="987" ht="18" customHeight="1">
      <x:c r="A987" s="498"/>
      <x:c r="B987" s="498"/>
      <x:c r="C987" s="498"/>
      <x:c r="D987" s="498"/>
      <x:c r="E987" s="498"/>
      <x:c r="F987" s="498"/>
      <x:c r="G987" s="498"/>
      <x:c r="H987" s="498"/>
      <x:c r="I987" s="498"/>
      <x:c r="J987" s="498"/>
      <x:c r="K987" s="498"/>
      <x:c r="L987" s="498"/>
      <x:c r="M987" s="498"/>
    </x:row>
    <x:row r="988" ht="18" customHeight="1">
      <x:c r="A988" s="498"/>
      <x:c r="B988" s="498"/>
      <x:c r="C988" s="498"/>
      <x:c r="D988" s="498"/>
      <x:c r="E988" s="498"/>
      <x:c r="F988" s="498"/>
      <x:c r="G988" s="498"/>
      <x:c r="H988" s="498"/>
      <x:c r="I988" s="498"/>
      <x:c r="J988" s="498"/>
      <x:c r="K988" s="498"/>
      <x:c r="L988" s="498"/>
      <x:c r="M988" s="498"/>
    </x:row>
    <x:row r="989" ht="18" customHeight="1">
      <x:c r="A989" s="498"/>
      <x:c r="B989" s="498"/>
      <x:c r="C989" s="498"/>
      <x:c r="D989" s="498"/>
      <x:c r="E989" s="498"/>
      <x:c r="F989" s="498"/>
      <x:c r="G989" s="498"/>
      <x:c r="H989" s="498"/>
      <x:c r="I989" s="498"/>
      <x:c r="J989" s="498"/>
      <x:c r="K989" s="498"/>
      <x:c r="L989" s="498"/>
      <x:c r="M989" s="498"/>
    </x:row>
    <x:row r="990" ht="18" customHeight="1">
      <x:c r="A990" s="498"/>
      <x:c r="B990" s="498"/>
      <x:c r="C990" s="498"/>
      <x:c r="D990" s="498"/>
      <x:c r="E990" s="498"/>
      <x:c r="F990" s="498"/>
      <x:c r="G990" s="498"/>
      <x:c r="H990" s="498"/>
      <x:c r="I990" s="498"/>
      <x:c r="J990" s="498"/>
      <x:c r="K990" s="498"/>
      <x:c r="L990" s="498"/>
      <x:c r="M990" s="498"/>
    </x:row>
    <x:row r="991" ht="18" customHeight="1">
      <x:c r="A991" s="498"/>
      <x:c r="B991" s="498"/>
      <x:c r="C991" s="498"/>
      <x:c r="D991" s="498"/>
      <x:c r="E991" s="498"/>
      <x:c r="F991" s="498"/>
      <x:c r="G991" s="498"/>
      <x:c r="H991" s="498"/>
      <x:c r="I991" s="498"/>
      <x:c r="J991" s="498"/>
      <x:c r="K991" s="498"/>
      <x:c r="L991" s="498"/>
      <x:c r="M991" s="498"/>
    </x:row>
    <x:row r="992" ht="18" customHeight="1">
      <x:c r="A992" s="498"/>
      <x:c r="B992" s="498"/>
      <x:c r="C992" s="498"/>
      <x:c r="D992" s="498"/>
      <x:c r="E992" s="498"/>
      <x:c r="F992" s="498"/>
      <x:c r="G992" s="498"/>
      <x:c r="H992" s="498"/>
      <x:c r="I992" s="498"/>
      <x:c r="J992" s="498"/>
      <x:c r="K992" s="498"/>
      <x:c r="L992" s="498"/>
      <x:c r="M992" s="498"/>
    </x:row>
    <x:row r="993" ht="18" customHeight="1">
      <x:c r="A993" s="498"/>
      <x:c r="B993" s="498"/>
      <x:c r="C993" s="498"/>
      <x:c r="D993" s="498"/>
      <x:c r="E993" s="498"/>
      <x:c r="F993" s="498"/>
      <x:c r="G993" s="498"/>
      <x:c r="H993" s="498"/>
      <x:c r="I993" s="498"/>
      <x:c r="J993" s="498"/>
      <x:c r="K993" s="498"/>
      <x:c r="L993" s="498"/>
      <x:c r="M993" s="498"/>
    </x:row>
    <x:row r="994" ht="18" customHeight="1">
      <x:c r="A994" s="498"/>
      <x:c r="B994" s="498"/>
      <x:c r="C994" s="498"/>
      <x:c r="D994" s="498"/>
      <x:c r="E994" s="498"/>
      <x:c r="F994" s="498"/>
      <x:c r="G994" s="498"/>
      <x:c r="H994" s="498"/>
      <x:c r="I994" s="498"/>
      <x:c r="J994" s="498"/>
      <x:c r="K994" s="498"/>
      <x:c r="L994" s="498"/>
      <x:c r="M994" s="498"/>
    </x:row>
    <x:row r="995" ht="18" customHeight="1">
      <x:c r="A995" s="498"/>
      <x:c r="B995" s="498"/>
      <x:c r="C995" s="498"/>
      <x:c r="D995" s="498"/>
      <x:c r="E995" s="498"/>
      <x:c r="F995" s="498"/>
      <x:c r="G995" s="498"/>
      <x:c r="H995" s="498"/>
      <x:c r="I995" s="498"/>
      <x:c r="J995" s="498"/>
      <x:c r="K995" s="498"/>
      <x:c r="L995" s="498"/>
      <x:c r="M995" s="498"/>
    </x:row>
    <x:row r="996" ht="18" customHeight="1">
      <x:c r="A996" s="498"/>
      <x:c r="B996" s="498"/>
      <x:c r="C996" s="498"/>
      <x:c r="D996" s="498"/>
      <x:c r="E996" s="498"/>
      <x:c r="F996" s="498"/>
      <x:c r="G996" s="498"/>
      <x:c r="H996" s="498"/>
      <x:c r="I996" s="498"/>
      <x:c r="J996" s="498"/>
      <x:c r="K996" s="498"/>
      <x:c r="L996" s="498"/>
      <x:c r="M996" s="498"/>
    </x:row>
    <x:row r="997" ht="18" customHeight="1">
      <x:c r="A997" s="498"/>
      <x:c r="B997" s="498"/>
      <x:c r="C997" s="498"/>
      <x:c r="D997" s="498"/>
      <x:c r="E997" s="498"/>
      <x:c r="F997" s="498"/>
      <x:c r="G997" s="498"/>
      <x:c r="H997" s="498"/>
      <x:c r="I997" s="498"/>
      <x:c r="J997" s="498"/>
      <x:c r="K997" s="498"/>
      <x:c r="L997" s="498"/>
      <x:c r="M997" s="498"/>
    </x:row>
    <x:row r="998" ht="18" customHeight="1">
      <x:c r="A998" s="498"/>
      <x:c r="B998" s="498"/>
      <x:c r="C998" s="498"/>
      <x:c r="D998" s="498"/>
      <x:c r="E998" s="498"/>
      <x:c r="F998" s="498"/>
      <x:c r="G998" s="498"/>
      <x:c r="H998" s="498"/>
      <x:c r="I998" s="498"/>
      <x:c r="J998" s="498"/>
      <x:c r="K998" s="498"/>
      <x:c r="L998" s="498"/>
      <x:c r="M998" s="498"/>
    </x:row>
    <x:row r="999" ht="18" customHeight="1">
      <x:c r="A999" s="498"/>
      <x:c r="B999" s="498"/>
      <x:c r="C999" s="498"/>
      <x:c r="D999" s="498"/>
      <x:c r="E999" s="498"/>
      <x:c r="F999" s="498"/>
      <x:c r="G999" s="498"/>
      <x:c r="H999" s="498"/>
      <x:c r="I999" s="498"/>
      <x:c r="J999" s="498"/>
      <x:c r="K999" s="498"/>
      <x:c r="L999" s="498"/>
      <x:c r="M999" s="498"/>
    </x:row>
    <x:row r="1000" ht="18" customHeight="1">
      <x:c r="A1000" s="498"/>
      <x:c r="B1000" s="498"/>
      <x:c r="C1000" s="498"/>
      <x:c r="D1000" s="498"/>
      <x:c r="E1000" s="498"/>
      <x:c r="F1000" s="498"/>
      <x:c r="G1000" s="498"/>
      <x:c r="H1000" s="498"/>
      <x:c r="I1000" s="498"/>
      <x:c r="J1000" s="498"/>
      <x:c r="K1000" s="498"/>
      <x:c r="L1000" s="498"/>
      <x:c r="M1000" s="498"/>
    </x:row>
    <x:row r="1001" ht="18" customHeight="1">
      <x:c r="A1001" s="498"/>
      <x:c r="B1001" s="498"/>
      <x:c r="C1001" s="498"/>
      <x:c r="D1001" s="498"/>
      <x:c r="E1001" s="498"/>
      <x:c r="F1001" s="498"/>
      <x:c r="G1001" s="498"/>
      <x:c r="H1001" s="498"/>
      <x:c r="I1001" s="498"/>
      <x:c r="J1001" s="498"/>
      <x:c r="K1001" s="498"/>
      <x:c r="L1001" s="498"/>
      <x:c r="M1001" s="498"/>
    </x:row>
    <x:row r="1002" ht="18" customHeight="1">
      <x:c r="A1002" s="498"/>
      <x:c r="B1002" s="498"/>
      <x:c r="C1002" s="498"/>
      <x:c r="D1002" s="498"/>
      <x:c r="E1002" s="498"/>
      <x:c r="F1002" s="498"/>
      <x:c r="G1002" s="498"/>
      <x:c r="H1002" s="498"/>
      <x:c r="I1002" s="498"/>
      <x:c r="J1002" s="498"/>
      <x:c r="K1002" s="498"/>
      <x:c r="L1002" s="498"/>
      <x:c r="M1002" s="498"/>
    </x:row>
    <x:row r="1003" ht="18" customHeight="1">
      <x:c r="A1003" s="498"/>
      <x:c r="B1003" s="498"/>
      <x:c r="C1003" s="498"/>
      <x:c r="D1003" s="498"/>
      <x:c r="E1003" s="498"/>
      <x:c r="F1003" s="498"/>
      <x:c r="G1003" s="498"/>
      <x:c r="H1003" s="498"/>
      <x:c r="I1003" s="498"/>
      <x:c r="J1003" s="498"/>
      <x:c r="K1003" s="498"/>
      <x:c r="L1003" s="498"/>
      <x:c r="M1003" s="498"/>
    </x:row>
    <x:row r="1004" ht="18" customHeight="1">
      <x:c r="A1004" s="498"/>
      <x:c r="B1004" s="498"/>
      <x:c r="C1004" s="498"/>
      <x:c r="D1004" s="498"/>
      <x:c r="E1004" s="498"/>
      <x:c r="F1004" s="498"/>
      <x:c r="G1004" s="498"/>
      <x:c r="H1004" s="498"/>
      <x:c r="I1004" s="498"/>
      <x:c r="J1004" s="498"/>
      <x:c r="K1004" s="498"/>
      <x:c r="L1004" s="498"/>
      <x:c r="M1004" s="498"/>
    </x:row>
    <x:row r="1005" ht="18" customHeight="1">
      <x:c r="A1005" s="498"/>
      <x:c r="B1005" s="498"/>
      <x:c r="C1005" s="498"/>
      <x:c r="D1005" s="498"/>
      <x:c r="E1005" s="498"/>
      <x:c r="F1005" s="498"/>
      <x:c r="G1005" s="498"/>
      <x:c r="H1005" s="498"/>
      <x:c r="I1005" s="498"/>
      <x:c r="J1005" s="498"/>
      <x:c r="K1005" s="498"/>
      <x:c r="L1005" s="498"/>
      <x:c r="M1005" s="498"/>
    </x:row>
    <x:row r="1006" ht="18" customHeight="1">
      <x:c r="A1006" s="498"/>
      <x:c r="B1006" s="498"/>
      <x:c r="C1006" s="498"/>
      <x:c r="D1006" s="498"/>
      <x:c r="E1006" s="498"/>
      <x:c r="F1006" s="498"/>
      <x:c r="G1006" s="498"/>
      <x:c r="H1006" s="498"/>
      <x:c r="I1006" s="498"/>
      <x:c r="J1006" s="498"/>
      <x:c r="K1006" s="498"/>
      <x:c r="L1006" s="498"/>
      <x:c r="M1006" s="498"/>
    </x:row>
    <x:row r="1007" ht="18" customHeight="1">
      <x:c r="A1007" s="498"/>
      <x:c r="B1007" s="498"/>
      <x:c r="C1007" s="498"/>
      <x:c r="D1007" s="498"/>
      <x:c r="E1007" s="498"/>
      <x:c r="F1007" s="498"/>
      <x:c r="G1007" s="498"/>
      <x:c r="H1007" s="498"/>
      <x:c r="I1007" s="498"/>
      <x:c r="J1007" s="498"/>
      <x:c r="K1007" s="498"/>
      <x:c r="L1007" s="498"/>
      <x:c r="M1007" s="498"/>
    </x:row>
    <x:row r="1008" ht="18" customHeight="1">
      <x:c r="A1008" s="498"/>
      <x:c r="B1008" s="498"/>
      <x:c r="C1008" s="498"/>
      <x:c r="D1008" s="498"/>
      <x:c r="E1008" s="498"/>
      <x:c r="F1008" s="498"/>
      <x:c r="G1008" s="498"/>
      <x:c r="H1008" s="498"/>
      <x:c r="I1008" s="498"/>
      <x:c r="J1008" s="498"/>
      <x:c r="K1008" s="498"/>
      <x:c r="L1008" s="498"/>
      <x:c r="M1008" s="498"/>
    </x:row>
    <x:row r="1009" ht="18" customHeight="1">
      <x:c r="A1009" s="498"/>
      <x:c r="B1009" s="498"/>
      <x:c r="C1009" s="498"/>
      <x:c r="D1009" s="498"/>
      <x:c r="E1009" s="498"/>
      <x:c r="F1009" s="498"/>
      <x:c r="G1009" s="498"/>
      <x:c r="H1009" s="498"/>
      <x:c r="I1009" s="498"/>
      <x:c r="J1009" s="498"/>
      <x:c r="K1009" s="498"/>
      <x:c r="L1009" s="498"/>
      <x:c r="M1009" s="498"/>
    </x:row>
    <x:row r="1010" ht="18" customHeight="1">
      <x:c r="A1010" s="498"/>
      <x:c r="B1010" s="498"/>
      <x:c r="C1010" s="498"/>
      <x:c r="D1010" s="498"/>
      <x:c r="E1010" s="498"/>
      <x:c r="F1010" s="498"/>
      <x:c r="G1010" s="498"/>
      <x:c r="H1010" s="498"/>
      <x:c r="I1010" s="498"/>
      <x:c r="J1010" s="498"/>
      <x:c r="K1010" s="498"/>
      <x:c r="L1010" s="498"/>
      <x:c r="M1010" s="498"/>
    </x:row>
    <x:row r="1011" ht="18" customHeight="1">
      <x:c r="A1011" s="498"/>
      <x:c r="B1011" s="498"/>
      <x:c r="C1011" s="498"/>
      <x:c r="D1011" s="498"/>
      <x:c r="E1011" s="498"/>
      <x:c r="F1011" s="498"/>
      <x:c r="G1011" s="498"/>
      <x:c r="H1011" s="498"/>
      <x:c r="I1011" s="498"/>
      <x:c r="J1011" s="498"/>
      <x:c r="K1011" s="498"/>
      <x:c r="L1011" s="498"/>
      <x:c r="M1011" s="498"/>
    </x:row>
    <x:row r="1012" ht="18" customHeight="1">
      <x:c r="A1012" s="498"/>
      <x:c r="B1012" s="498"/>
      <x:c r="C1012" s="498"/>
      <x:c r="D1012" s="498"/>
      <x:c r="E1012" s="498"/>
      <x:c r="F1012" s="498"/>
      <x:c r="G1012" s="498"/>
      <x:c r="H1012" s="498"/>
      <x:c r="I1012" s="498"/>
      <x:c r="J1012" s="498"/>
      <x:c r="K1012" s="498"/>
      <x:c r="L1012" s="498"/>
      <x:c r="M1012" s="498"/>
    </x:row>
    <x:row r="1013" ht="18" customHeight="1">
      <x:c r="A1013" s="498"/>
      <x:c r="B1013" s="498"/>
      <x:c r="C1013" s="498"/>
      <x:c r="D1013" s="498"/>
      <x:c r="E1013" s="498"/>
      <x:c r="F1013" s="498"/>
      <x:c r="G1013" s="498"/>
      <x:c r="H1013" s="498"/>
      <x:c r="I1013" s="498"/>
      <x:c r="J1013" s="498"/>
      <x:c r="K1013" s="498"/>
      <x:c r="L1013" s="498"/>
      <x:c r="M1013" s="498"/>
    </x:row>
    <x:row r="1014" ht="18" customHeight="1">
      <x:c r="A1014" s="498"/>
      <x:c r="B1014" s="498"/>
      <x:c r="C1014" s="498"/>
      <x:c r="D1014" s="498"/>
      <x:c r="E1014" s="498"/>
      <x:c r="F1014" s="498"/>
      <x:c r="G1014" s="498"/>
      <x:c r="H1014" s="498"/>
      <x:c r="I1014" s="498"/>
      <x:c r="J1014" s="498"/>
      <x:c r="K1014" s="498"/>
      <x:c r="L1014" s="498"/>
      <x:c r="M1014" s="498"/>
    </x:row>
    <x:row r="1015" ht="18" customHeight="1">
      <x:c r="A1015" s="498"/>
      <x:c r="B1015" s="498"/>
      <x:c r="C1015" s="498"/>
      <x:c r="D1015" s="498"/>
      <x:c r="E1015" s="498"/>
      <x:c r="F1015" s="498"/>
      <x:c r="G1015" s="498"/>
      <x:c r="H1015" s="498"/>
      <x:c r="I1015" s="498"/>
      <x:c r="J1015" s="498"/>
      <x:c r="K1015" s="498"/>
      <x:c r="L1015" s="498"/>
      <x:c r="M1015" s="498"/>
    </x:row>
    <x:row r="1016" ht="18" customHeight="1">
      <x:c r="A1016" s="498"/>
      <x:c r="B1016" s="498"/>
      <x:c r="C1016" s="498"/>
      <x:c r="D1016" s="498"/>
      <x:c r="E1016" s="498"/>
      <x:c r="F1016" s="498"/>
      <x:c r="G1016" s="498"/>
      <x:c r="H1016" s="498"/>
      <x:c r="I1016" s="498"/>
      <x:c r="J1016" s="498"/>
      <x:c r="K1016" s="498"/>
      <x:c r="L1016" s="498"/>
      <x:c r="M1016" s="498"/>
    </x:row>
    <x:row r="1017" ht="18" customHeight="1">
      <x:c r="A1017" s="498"/>
      <x:c r="B1017" s="498"/>
      <x:c r="C1017" s="498"/>
      <x:c r="D1017" s="498"/>
      <x:c r="E1017" s="498"/>
      <x:c r="F1017" s="498"/>
      <x:c r="G1017" s="498"/>
      <x:c r="H1017" s="498"/>
      <x:c r="I1017" s="498"/>
      <x:c r="J1017" s="498"/>
      <x:c r="K1017" s="498"/>
      <x:c r="L1017" s="498"/>
      <x:c r="M1017" s="498"/>
    </x:row>
    <x:row r="1018" ht="18" customHeight="1">
      <x:c r="A1018" s="498"/>
      <x:c r="B1018" s="498"/>
      <x:c r="C1018" s="498"/>
      <x:c r="D1018" s="498"/>
      <x:c r="E1018" s="498"/>
      <x:c r="F1018" s="498"/>
      <x:c r="G1018" s="498"/>
      <x:c r="H1018" s="498"/>
      <x:c r="I1018" s="498"/>
      <x:c r="J1018" s="498"/>
      <x:c r="K1018" s="498"/>
      <x:c r="L1018" s="498"/>
      <x:c r="M1018" s="498"/>
    </x:row>
    <x:row r="1019" ht="18" customHeight="1">
      <x:c r="A1019" s="498"/>
      <x:c r="B1019" s="498"/>
      <x:c r="C1019" s="498"/>
      <x:c r="D1019" s="498"/>
      <x:c r="E1019" s="498"/>
      <x:c r="F1019" s="498"/>
      <x:c r="G1019" s="498"/>
      <x:c r="H1019" s="498"/>
      <x:c r="I1019" s="498"/>
      <x:c r="J1019" s="498"/>
      <x:c r="K1019" s="498"/>
      <x:c r="L1019" s="498"/>
      <x:c r="M1019" s="498"/>
    </x:row>
    <x:row r="1020" ht="18" customHeight="1">
      <x:c r="A1020" s="498"/>
      <x:c r="B1020" s="498"/>
      <x:c r="C1020" s="498"/>
      <x:c r="D1020" s="498"/>
      <x:c r="E1020" s="498"/>
      <x:c r="F1020" s="498"/>
      <x:c r="G1020" s="498"/>
      <x:c r="H1020" s="498"/>
      <x:c r="I1020" s="498"/>
      <x:c r="J1020" s="498"/>
      <x:c r="K1020" s="498"/>
      <x:c r="L1020" s="498"/>
      <x:c r="M1020" s="498"/>
    </x:row>
    <x:row r="1021" ht="18" customHeight="1">
      <x:c r="A1021" s="498"/>
      <x:c r="B1021" s="498"/>
      <x:c r="C1021" s="498"/>
      <x:c r="D1021" s="498"/>
      <x:c r="E1021" s="498"/>
      <x:c r="F1021" s="498"/>
      <x:c r="G1021" s="498"/>
      <x:c r="H1021" s="498"/>
      <x:c r="I1021" s="498"/>
      <x:c r="J1021" s="498"/>
      <x:c r="K1021" s="498"/>
      <x:c r="L1021" s="498"/>
      <x:c r="M1021" s="498"/>
    </x:row>
    <x:row r="1022" ht="18" customHeight="1">
      <x:c r="A1022" s="498"/>
      <x:c r="B1022" s="498"/>
      <x:c r="C1022" s="498"/>
      <x:c r="D1022" s="498"/>
      <x:c r="E1022" s="498"/>
      <x:c r="F1022" s="498"/>
      <x:c r="G1022" s="498"/>
      <x:c r="H1022" s="498"/>
      <x:c r="I1022" s="498"/>
      <x:c r="J1022" s="498"/>
      <x:c r="K1022" s="498"/>
      <x:c r="L1022" s="498"/>
      <x:c r="M1022" s="498"/>
    </x:row>
    <x:row r="1023" ht="18" customHeight="1">
      <x:c r="A1023" s="498"/>
      <x:c r="B1023" s="498"/>
      <x:c r="C1023" s="498"/>
      <x:c r="D1023" s="498"/>
      <x:c r="E1023" s="498"/>
      <x:c r="F1023" s="498"/>
      <x:c r="G1023" s="498"/>
      <x:c r="H1023" s="498"/>
      <x:c r="I1023" s="498"/>
      <x:c r="J1023" s="498"/>
      <x:c r="K1023" s="498"/>
      <x:c r="L1023" s="498"/>
      <x:c r="M1023" s="498"/>
    </x:row>
    <x:row r="1024" ht="18" customHeight="1">
      <x:c r="A1024" s="498"/>
      <x:c r="B1024" s="498"/>
      <x:c r="C1024" s="498"/>
      <x:c r="D1024" s="498"/>
      <x:c r="E1024" s="498"/>
      <x:c r="F1024" s="498"/>
      <x:c r="G1024" s="498"/>
      <x:c r="H1024" s="498"/>
      <x:c r="I1024" s="498"/>
      <x:c r="J1024" s="498"/>
      <x:c r="K1024" s="498"/>
      <x:c r="L1024" s="498"/>
      <x:c r="M1024" s="498"/>
    </x:row>
    <x:row r="1025" ht="18" customHeight="1">
      <x:c r="A1025" s="498"/>
      <x:c r="B1025" s="498"/>
      <x:c r="C1025" s="498"/>
      <x:c r="D1025" s="498"/>
      <x:c r="E1025" s="498"/>
      <x:c r="F1025" s="498"/>
      <x:c r="G1025" s="498"/>
      <x:c r="H1025" s="498"/>
      <x:c r="I1025" s="498"/>
      <x:c r="J1025" s="498"/>
      <x:c r="K1025" s="498"/>
      <x:c r="L1025" s="498"/>
      <x:c r="M1025" s="498"/>
    </x:row>
    <x:row r="1026" ht="18" customHeight="1">
      <x:c r="A1026" s="498"/>
      <x:c r="B1026" s="498"/>
      <x:c r="C1026" s="498"/>
      <x:c r="D1026" s="498"/>
      <x:c r="E1026" s="498"/>
      <x:c r="F1026" s="498"/>
      <x:c r="G1026" s="498"/>
      <x:c r="H1026" s="498"/>
      <x:c r="I1026" s="498"/>
      <x:c r="J1026" s="498"/>
      <x:c r="K1026" s="498"/>
      <x:c r="L1026" s="498"/>
      <x:c r="M1026" s="498"/>
    </x:row>
    <x:row r="1027" ht="18" customHeight="1">
      <x:c r="A1027" s="498"/>
      <x:c r="B1027" s="498"/>
      <x:c r="C1027" s="498"/>
      <x:c r="D1027" s="498"/>
      <x:c r="E1027" s="498"/>
      <x:c r="F1027" s="498"/>
      <x:c r="G1027" s="498"/>
      <x:c r="H1027" s="498"/>
      <x:c r="I1027" s="498"/>
      <x:c r="J1027" s="498"/>
      <x:c r="K1027" s="498"/>
      <x:c r="L1027" s="498"/>
      <x:c r="M1027" s="498"/>
    </x:row>
    <x:row r="1028" ht="18" customHeight="1">
      <x:c r="A1028" s="498"/>
      <x:c r="B1028" s="498"/>
      <x:c r="C1028" s="498"/>
      <x:c r="D1028" s="498"/>
      <x:c r="E1028" s="498"/>
      <x:c r="F1028" s="498"/>
      <x:c r="G1028" s="498"/>
      <x:c r="H1028" s="498"/>
      <x:c r="I1028" s="498"/>
      <x:c r="J1028" s="498"/>
      <x:c r="K1028" s="498"/>
      <x:c r="L1028" s="498"/>
      <x:c r="M1028" s="498"/>
    </x:row>
    <x:row r="1029" ht="18" customHeight="1">
      <x:c r="A1029" s="498"/>
      <x:c r="B1029" s="498"/>
      <x:c r="C1029" s="498"/>
      <x:c r="D1029" s="498"/>
      <x:c r="E1029" s="498"/>
      <x:c r="F1029" s="498"/>
      <x:c r="G1029" s="498"/>
      <x:c r="H1029" s="498"/>
      <x:c r="I1029" s="498"/>
      <x:c r="J1029" s="498"/>
      <x:c r="K1029" s="498"/>
      <x:c r="L1029" s="498"/>
      <x:c r="M1029" s="498"/>
    </x:row>
    <x:row r="1030" ht="18" customHeight="1">
      <x:c r="A1030" s="498"/>
      <x:c r="B1030" s="498"/>
      <x:c r="C1030" s="498"/>
      <x:c r="D1030" s="498"/>
      <x:c r="E1030" s="498"/>
      <x:c r="F1030" s="498"/>
      <x:c r="G1030" s="498"/>
      <x:c r="H1030" s="498"/>
      <x:c r="I1030" s="498"/>
      <x:c r="J1030" s="498"/>
      <x:c r="K1030" s="498"/>
      <x:c r="L1030" s="498"/>
      <x:c r="M1030" s="498"/>
    </x:row>
    <x:row r="1031" ht="18" customHeight="1">
      <x:c r="A1031" s="498"/>
      <x:c r="B1031" s="498"/>
      <x:c r="C1031" s="498"/>
      <x:c r="D1031" s="498"/>
      <x:c r="E1031" s="498"/>
      <x:c r="F1031" s="498"/>
      <x:c r="G1031" s="498"/>
      <x:c r="H1031" s="498"/>
      <x:c r="I1031" s="498"/>
      <x:c r="J1031" s="498"/>
      <x:c r="K1031" s="498"/>
      <x:c r="L1031" s="498"/>
      <x:c r="M1031" s="498"/>
    </x:row>
    <x:row r="1032" ht="18" customHeight="1">
      <x:c r="A1032" s="498"/>
      <x:c r="B1032" s="498"/>
      <x:c r="C1032" s="498"/>
      <x:c r="D1032" s="498"/>
      <x:c r="E1032" s="498"/>
      <x:c r="F1032" s="498"/>
      <x:c r="G1032" s="498"/>
      <x:c r="H1032" s="498"/>
      <x:c r="I1032" s="498"/>
      <x:c r="J1032" s="498"/>
      <x:c r="K1032" s="498"/>
      <x:c r="L1032" s="498"/>
      <x:c r="M1032" s="498"/>
    </x:row>
    <x:row r="1033" ht="18" customHeight="1">
      <x:c r="A1033" s="498"/>
      <x:c r="B1033" s="498"/>
      <x:c r="C1033" s="498"/>
      <x:c r="D1033" s="498"/>
      <x:c r="E1033" s="498"/>
      <x:c r="F1033" s="498"/>
      <x:c r="G1033" s="498"/>
      <x:c r="H1033" s="498"/>
      <x:c r="I1033" s="498"/>
      <x:c r="J1033" s="498"/>
      <x:c r="K1033" s="498"/>
      <x:c r="L1033" s="498"/>
      <x:c r="M1033" s="498"/>
    </x:row>
    <x:row r="1034" ht="18" customHeight="1">
      <x:c r="A1034" s="498"/>
      <x:c r="B1034" s="498"/>
      <x:c r="C1034" s="498"/>
      <x:c r="D1034" s="498"/>
      <x:c r="E1034" s="498"/>
      <x:c r="F1034" s="498"/>
      <x:c r="G1034" s="498"/>
      <x:c r="H1034" s="498"/>
      <x:c r="I1034" s="498"/>
      <x:c r="J1034" s="498"/>
      <x:c r="K1034" s="498"/>
      <x:c r="L1034" s="498"/>
      <x:c r="M1034" s="498"/>
    </x:row>
    <x:row r="1035" ht="18" customHeight="1">
      <x:c r="A1035" s="498"/>
      <x:c r="B1035" s="498"/>
      <x:c r="C1035" s="498"/>
      <x:c r="D1035" s="498"/>
      <x:c r="E1035" s="498"/>
      <x:c r="F1035" s="498"/>
      <x:c r="G1035" s="498"/>
      <x:c r="H1035" s="498"/>
      <x:c r="I1035" s="498"/>
      <x:c r="J1035" s="498"/>
      <x:c r="K1035" s="498"/>
      <x:c r="L1035" s="498"/>
      <x:c r="M1035" s="498"/>
    </x:row>
    <x:row r="1036" ht="18" customHeight="1">
      <x:c r="A1036" s="498"/>
      <x:c r="B1036" s="498"/>
      <x:c r="C1036" s="498"/>
      <x:c r="D1036" s="498"/>
      <x:c r="E1036" s="498"/>
      <x:c r="F1036" s="498"/>
      <x:c r="G1036" s="498"/>
      <x:c r="H1036" s="498"/>
      <x:c r="I1036" s="498"/>
      <x:c r="J1036" s="498"/>
      <x:c r="K1036" s="498"/>
      <x:c r="L1036" s="498"/>
      <x:c r="M1036" s="498"/>
    </x:row>
    <x:row r="1037" ht="18" customHeight="1">
      <x:c r="A1037" s="498"/>
      <x:c r="B1037" s="498"/>
      <x:c r="C1037" s="498"/>
      <x:c r="D1037" s="498"/>
      <x:c r="E1037" s="498"/>
      <x:c r="F1037" s="498"/>
      <x:c r="G1037" s="498"/>
      <x:c r="H1037" s="498"/>
      <x:c r="I1037" s="498"/>
      <x:c r="J1037" s="498"/>
      <x:c r="K1037" s="498"/>
      <x:c r="L1037" s="498"/>
      <x:c r="M1037" s="498"/>
    </x:row>
    <x:row r="1038" ht="18" customHeight="1">
      <x:c r="A1038" s="498"/>
      <x:c r="B1038" s="498"/>
      <x:c r="C1038" s="498"/>
      <x:c r="D1038" s="498"/>
      <x:c r="E1038" s="498"/>
      <x:c r="F1038" s="498"/>
      <x:c r="G1038" s="498"/>
      <x:c r="H1038" s="498"/>
      <x:c r="I1038" s="498"/>
      <x:c r="J1038" s="498"/>
      <x:c r="K1038" s="498"/>
      <x:c r="L1038" s="498"/>
      <x:c r="M1038" s="498"/>
    </x:row>
    <x:row r="1039" ht="18" customHeight="1">
      <x:c r="A1039" s="498"/>
      <x:c r="B1039" s="498"/>
      <x:c r="C1039" s="498"/>
      <x:c r="D1039" s="498"/>
      <x:c r="E1039" s="498"/>
      <x:c r="F1039" s="498"/>
      <x:c r="G1039" s="498"/>
      <x:c r="H1039" s="498"/>
      <x:c r="I1039" s="498"/>
      <x:c r="J1039" s="498"/>
      <x:c r="K1039" s="498"/>
      <x:c r="L1039" s="498"/>
      <x:c r="M1039" s="498"/>
    </x:row>
    <x:row r="1040" ht="18" customHeight="1">
      <x:c r="A1040" s="498"/>
      <x:c r="B1040" s="498"/>
      <x:c r="C1040" s="498"/>
      <x:c r="D1040" s="498"/>
      <x:c r="E1040" s="498"/>
      <x:c r="F1040" s="498"/>
      <x:c r="G1040" s="498"/>
      <x:c r="H1040" s="498"/>
      <x:c r="I1040" s="498"/>
      <x:c r="J1040" s="498"/>
      <x:c r="K1040" s="498"/>
      <x:c r="L1040" s="498"/>
      <x:c r="M1040" s="498"/>
    </x:row>
    <x:row r="1041" ht="18" customHeight="1">
      <x:c r="A1041" s="498"/>
      <x:c r="B1041" s="498"/>
      <x:c r="C1041" s="498"/>
      <x:c r="D1041" s="498"/>
      <x:c r="E1041" s="498"/>
      <x:c r="F1041" s="498"/>
      <x:c r="G1041" s="498"/>
      <x:c r="H1041" s="498"/>
      <x:c r="I1041" s="498"/>
      <x:c r="J1041" s="498"/>
      <x:c r="K1041" s="498"/>
      <x:c r="L1041" s="498"/>
      <x:c r="M1041" s="498"/>
    </x:row>
    <x:row r="1042" ht="18" customHeight="1">
      <x:c r="A1042" s="498"/>
      <x:c r="B1042" s="498"/>
      <x:c r="C1042" s="498"/>
      <x:c r="D1042" s="498"/>
      <x:c r="E1042" s="498"/>
      <x:c r="F1042" s="498"/>
      <x:c r="G1042" s="498"/>
      <x:c r="H1042" s="498"/>
      <x:c r="I1042" s="498"/>
      <x:c r="J1042" s="498"/>
      <x:c r="K1042" s="498"/>
      <x:c r="L1042" s="498"/>
      <x:c r="M1042" s="498"/>
    </x:row>
    <x:row r="1043" ht="18" customHeight="1">
      <x:c r="A1043" s="498"/>
      <x:c r="B1043" s="498"/>
      <x:c r="C1043" s="498"/>
      <x:c r="D1043" s="498"/>
      <x:c r="E1043" s="498"/>
      <x:c r="F1043" s="498"/>
      <x:c r="G1043" s="498"/>
      <x:c r="H1043" s="498"/>
      <x:c r="I1043" s="498"/>
      <x:c r="J1043" s="498"/>
      <x:c r="K1043" s="498"/>
      <x:c r="L1043" s="498"/>
      <x:c r="M1043" s="498"/>
    </x:row>
    <x:row r="1044" ht="18" customHeight="1">
      <x:c r="A1044" s="498"/>
      <x:c r="B1044" s="498"/>
      <x:c r="C1044" s="498"/>
      <x:c r="D1044" s="498"/>
      <x:c r="E1044" s="498"/>
      <x:c r="F1044" s="498"/>
      <x:c r="G1044" s="498"/>
      <x:c r="H1044" s="498"/>
      <x:c r="I1044" s="498"/>
      <x:c r="J1044" s="498"/>
      <x:c r="K1044" s="498"/>
      <x:c r="L1044" s="498"/>
      <x:c r="M1044" s="498"/>
    </x:row>
    <x:row r="1045" ht="18" customHeight="1">
      <x:c r="A1045" s="498"/>
      <x:c r="B1045" s="498"/>
      <x:c r="C1045" s="498"/>
      <x:c r="D1045" s="498"/>
      <x:c r="E1045" s="498"/>
      <x:c r="F1045" s="498"/>
      <x:c r="G1045" s="498"/>
      <x:c r="H1045" s="498"/>
      <x:c r="I1045" s="498"/>
      <x:c r="J1045" s="498"/>
      <x:c r="K1045" s="498"/>
      <x:c r="L1045" s="498"/>
      <x:c r="M1045" s="498"/>
    </x:row>
    <x:row r="1046" ht="18" customHeight="1">
      <x:c r="A1046" s="498"/>
      <x:c r="B1046" s="498"/>
      <x:c r="C1046" s="498"/>
      <x:c r="D1046" s="498"/>
      <x:c r="E1046" s="498"/>
      <x:c r="F1046" s="498"/>
      <x:c r="G1046" s="498"/>
      <x:c r="H1046" s="498"/>
      <x:c r="I1046" s="498"/>
      <x:c r="J1046" s="498"/>
      <x:c r="K1046" s="498"/>
      <x:c r="L1046" s="498"/>
      <x:c r="M1046" s="498"/>
    </x:row>
    <x:row r="1047" ht="18" customHeight="1">
      <x:c r="A1047" s="498"/>
      <x:c r="B1047" s="498"/>
      <x:c r="C1047" s="498"/>
      <x:c r="D1047" s="498"/>
      <x:c r="E1047" s="498"/>
      <x:c r="F1047" s="498"/>
      <x:c r="G1047" s="498"/>
      <x:c r="H1047" s="498"/>
      <x:c r="I1047" s="498"/>
      <x:c r="J1047" s="498"/>
      <x:c r="K1047" s="498"/>
      <x:c r="L1047" s="498"/>
      <x:c r="M1047" s="498"/>
    </x:row>
    <x:row r="1048" ht="18" customHeight="1">
      <x:c r="A1048" s="498"/>
      <x:c r="B1048" s="498"/>
      <x:c r="C1048" s="498"/>
      <x:c r="D1048" s="498"/>
      <x:c r="E1048" s="498"/>
      <x:c r="F1048" s="498"/>
      <x:c r="G1048" s="498"/>
      <x:c r="H1048" s="498"/>
      <x:c r="I1048" s="498"/>
      <x:c r="J1048" s="498"/>
      <x:c r="K1048" s="498"/>
      <x:c r="L1048" s="498"/>
      <x:c r="M1048" s="498"/>
    </x:row>
    <x:row r="1049" ht="18" customHeight="1">
      <x:c r="A1049" s="498"/>
      <x:c r="B1049" s="498"/>
      <x:c r="C1049" s="498"/>
      <x:c r="D1049" s="498"/>
      <x:c r="E1049" s="498"/>
      <x:c r="F1049" s="498"/>
      <x:c r="G1049" s="498"/>
      <x:c r="H1049" s="498"/>
      <x:c r="I1049" s="498"/>
      <x:c r="J1049" s="498"/>
      <x:c r="K1049" s="498"/>
      <x:c r="L1049" s="498"/>
      <x:c r="M1049" s="498"/>
    </x:row>
    <x:row r="1050" ht="18" customHeight="1">
      <x:c r="A1050" s="498"/>
      <x:c r="B1050" s="498"/>
      <x:c r="C1050" s="498"/>
      <x:c r="D1050" s="498"/>
      <x:c r="E1050" s="498"/>
      <x:c r="F1050" s="498"/>
      <x:c r="G1050" s="498"/>
      <x:c r="H1050" s="498"/>
      <x:c r="I1050" s="498"/>
      <x:c r="J1050" s="498"/>
      <x:c r="K1050" s="498"/>
      <x:c r="L1050" s="498"/>
      <x:c r="M1050" s="498"/>
    </x:row>
    <x:row r="1051" ht="18" customHeight="1">
      <x:c r="A1051" s="498"/>
      <x:c r="B1051" s="498"/>
      <x:c r="C1051" s="498"/>
      <x:c r="D1051" s="498"/>
      <x:c r="E1051" s="498"/>
      <x:c r="F1051" s="498"/>
      <x:c r="G1051" s="498"/>
      <x:c r="H1051" s="498"/>
      <x:c r="I1051" s="498"/>
      <x:c r="J1051" s="498"/>
      <x:c r="K1051" s="498"/>
      <x:c r="L1051" s="498"/>
      <x:c r="M1051" s="498"/>
    </x:row>
    <x:row r="1052" ht="18" customHeight="1">
      <x:c r="A1052" s="498"/>
      <x:c r="B1052" s="498"/>
      <x:c r="C1052" s="498"/>
      <x:c r="D1052" s="498"/>
      <x:c r="E1052" s="498"/>
      <x:c r="F1052" s="498"/>
      <x:c r="G1052" s="498"/>
      <x:c r="H1052" s="498"/>
      <x:c r="I1052" s="498"/>
      <x:c r="J1052" s="498"/>
      <x:c r="K1052" s="498"/>
      <x:c r="L1052" s="498"/>
      <x:c r="M1052" s="498"/>
    </x:row>
    <x:row r="1053" ht="18" customHeight="1">
      <x:c r="A1053" s="498"/>
      <x:c r="B1053" s="498"/>
      <x:c r="C1053" s="498"/>
      <x:c r="D1053" s="498"/>
      <x:c r="E1053" s="498"/>
      <x:c r="F1053" s="498"/>
      <x:c r="G1053" s="498"/>
      <x:c r="H1053" s="498"/>
      <x:c r="I1053" s="498"/>
      <x:c r="J1053" s="498"/>
      <x:c r="K1053" s="498"/>
      <x:c r="L1053" s="498"/>
      <x:c r="M1053" s="498"/>
    </x:row>
    <x:row r="1054" ht="18" customHeight="1">
      <x:c r="A1054" s="498"/>
      <x:c r="B1054" s="498"/>
      <x:c r="C1054" s="498"/>
      <x:c r="D1054" s="498"/>
      <x:c r="E1054" s="498"/>
      <x:c r="F1054" s="498"/>
      <x:c r="G1054" s="498"/>
      <x:c r="H1054" s="498"/>
      <x:c r="I1054" s="498"/>
      <x:c r="J1054" s="498"/>
      <x:c r="K1054" s="498"/>
      <x:c r="L1054" s="498"/>
      <x:c r="M1054" s="498"/>
    </x:row>
    <x:row r="1055" ht="18" customHeight="1">
      <x:c r="A1055" s="498"/>
      <x:c r="B1055" s="498"/>
      <x:c r="C1055" s="498"/>
      <x:c r="D1055" s="498"/>
      <x:c r="E1055" s="498"/>
      <x:c r="F1055" s="498"/>
      <x:c r="G1055" s="498"/>
      <x:c r="H1055" s="498"/>
      <x:c r="I1055" s="498"/>
      <x:c r="J1055" s="498"/>
      <x:c r="K1055" s="498"/>
      <x:c r="L1055" s="498"/>
      <x:c r="M1055" s="498"/>
    </x:row>
    <x:row r="1056" ht="18" customHeight="1">
      <x:c r="A1056" s="498"/>
      <x:c r="B1056" s="498"/>
      <x:c r="C1056" s="498"/>
      <x:c r="D1056" s="498"/>
      <x:c r="E1056" s="498"/>
      <x:c r="F1056" s="498"/>
      <x:c r="G1056" s="498"/>
      <x:c r="H1056" s="498"/>
      <x:c r="I1056" s="498"/>
      <x:c r="J1056" s="498"/>
      <x:c r="K1056" s="498"/>
      <x:c r="L1056" s="498"/>
      <x:c r="M1056" s="498"/>
    </x:row>
    <x:row r="1057" ht="18" customHeight="1">
      <x:c r="A1057" s="498"/>
      <x:c r="B1057" s="498"/>
      <x:c r="C1057" s="498"/>
      <x:c r="D1057" s="498"/>
      <x:c r="E1057" s="498"/>
      <x:c r="F1057" s="498"/>
      <x:c r="G1057" s="498"/>
      <x:c r="H1057" s="498"/>
      <x:c r="I1057" s="498"/>
      <x:c r="J1057" s="498"/>
      <x:c r="K1057" s="498"/>
      <x:c r="L1057" s="498"/>
      <x:c r="M1057" s="498"/>
    </x:row>
    <x:row r="1058" ht="18" customHeight="1">
      <x:c r="A1058" s="498"/>
      <x:c r="B1058" s="498"/>
      <x:c r="C1058" s="498"/>
      <x:c r="D1058" s="498"/>
      <x:c r="E1058" s="498"/>
      <x:c r="F1058" s="498"/>
      <x:c r="G1058" s="498"/>
      <x:c r="H1058" s="498"/>
      <x:c r="I1058" s="498"/>
      <x:c r="J1058" s="498"/>
      <x:c r="K1058" s="498"/>
      <x:c r="L1058" s="498"/>
      <x:c r="M1058" s="498"/>
    </x:row>
    <x:row r="1059" ht="18" customHeight="1">
      <x:c r="A1059" s="498"/>
      <x:c r="B1059" s="498"/>
      <x:c r="C1059" s="498"/>
      <x:c r="D1059" s="498"/>
      <x:c r="E1059" s="498"/>
      <x:c r="F1059" s="498"/>
      <x:c r="G1059" s="498"/>
      <x:c r="H1059" s="498"/>
      <x:c r="I1059" s="498"/>
      <x:c r="J1059" s="498"/>
      <x:c r="K1059" s="498"/>
      <x:c r="L1059" s="498"/>
      <x:c r="M1059" s="498"/>
    </x:row>
    <x:row r="1060" ht="18" customHeight="1">
      <x:c r="A1060" s="498"/>
      <x:c r="B1060" s="498"/>
      <x:c r="C1060" s="498"/>
      <x:c r="D1060" s="498"/>
      <x:c r="E1060" s="498"/>
      <x:c r="F1060" s="498"/>
      <x:c r="G1060" s="498"/>
      <x:c r="H1060" s="498"/>
      <x:c r="I1060" s="498"/>
      <x:c r="J1060" s="498"/>
      <x:c r="K1060" s="498"/>
      <x:c r="L1060" s="498"/>
      <x:c r="M1060" s="498"/>
    </x:row>
    <x:row r="1061" ht="18" customHeight="1">
      <x:c r="A1061" s="498"/>
      <x:c r="B1061" s="498"/>
      <x:c r="C1061" s="498"/>
      <x:c r="D1061" s="498"/>
      <x:c r="E1061" s="498"/>
      <x:c r="F1061" s="498"/>
      <x:c r="G1061" s="498"/>
      <x:c r="H1061" s="498"/>
      <x:c r="I1061" s="498"/>
      <x:c r="J1061" s="498"/>
      <x:c r="K1061" s="498"/>
      <x:c r="L1061" s="498"/>
      <x:c r="M1061" s="498"/>
    </x:row>
    <x:row r="1062" ht="18" customHeight="1">
      <x:c r="A1062" s="498"/>
      <x:c r="B1062" s="498"/>
      <x:c r="C1062" s="498"/>
      <x:c r="D1062" s="498"/>
      <x:c r="E1062" s="498"/>
      <x:c r="F1062" s="498"/>
      <x:c r="G1062" s="498"/>
      <x:c r="H1062" s="498"/>
      <x:c r="I1062" s="498"/>
      <x:c r="J1062" s="498"/>
      <x:c r="K1062" s="498"/>
      <x:c r="L1062" s="498"/>
      <x:c r="M1062" s="498"/>
    </x:row>
    <x:row r="1063" ht="18" customHeight="1">
      <x:c r="A1063" s="498"/>
      <x:c r="B1063" s="498"/>
      <x:c r="C1063" s="498"/>
      <x:c r="D1063" s="498"/>
      <x:c r="E1063" s="498"/>
      <x:c r="F1063" s="498"/>
      <x:c r="G1063" s="498"/>
      <x:c r="H1063" s="498"/>
      <x:c r="I1063" s="498"/>
      <x:c r="J1063" s="498"/>
      <x:c r="K1063" s="498"/>
      <x:c r="L1063" s="498"/>
      <x:c r="M1063" s="498"/>
    </x:row>
    <x:row r="1064" ht="18" customHeight="1">
      <x:c r="A1064" s="498"/>
      <x:c r="B1064" s="498"/>
      <x:c r="C1064" s="498"/>
      <x:c r="D1064" s="498"/>
      <x:c r="E1064" s="498"/>
      <x:c r="F1064" s="498"/>
      <x:c r="G1064" s="498"/>
      <x:c r="H1064" s="498"/>
      <x:c r="I1064" s="498"/>
      <x:c r="J1064" s="498"/>
      <x:c r="K1064" s="498"/>
      <x:c r="L1064" s="498"/>
      <x:c r="M1064" s="498"/>
    </x:row>
    <x:row r="1065" ht="18" customHeight="1">
      <x:c r="A1065" s="498"/>
      <x:c r="B1065" s="498"/>
      <x:c r="C1065" s="498"/>
      <x:c r="D1065" s="498"/>
      <x:c r="E1065" s="498"/>
      <x:c r="F1065" s="498"/>
      <x:c r="G1065" s="498"/>
      <x:c r="H1065" s="498"/>
      <x:c r="I1065" s="498"/>
      <x:c r="J1065" s="498"/>
      <x:c r="K1065" s="498"/>
      <x:c r="L1065" s="498"/>
      <x:c r="M1065" s="498"/>
    </x:row>
    <x:row r="1066" ht="18" customHeight="1">
      <x:c r="A1066" s="498"/>
      <x:c r="B1066" s="498"/>
      <x:c r="C1066" s="498"/>
      <x:c r="D1066" s="498"/>
      <x:c r="E1066" s="498"/>
      <x:c r="F1066" s="498"/>
      <x:c r="G1066" s="498"/>
      <x:c r="H1066" s="498"/>
      <x:c r="I1066" s="498"/>
      <x:c r="J1066" s="498"/>
      <x:c r="K1066" s="498"/>
      <x:c r="L1066" s="498"/>
      <x:c r="M1066" s="498"/>
    </x:row>
    <x:row r="1067" ht="18" customHeight="1">
      <x:c r="A1067" s="498"/>
      <x:c r="B1067" s="498"/>
      <x:c r="C1067" s="498"/>
      <x:c r="D1067" s="498"/>
      <x:c r="E1067" s="498"/>
      <x:c r="F1067" s="498"/>
      <x:c r="G1067" s="498"/>
      <x:c r="H1067" s="498"/>
      <x:c r="I1067" s="498"/>
      <x:c r="J1067" s="498"/>
      <x:c r="K1067" s="498"/>
      <x:c r="L1067" s="498"/>
      <x:c r="M1067" s="498"/>
    </x:row>
    <x:row r="1068" ht="18" customHeight="1">
      <x:c r="A1068" s="498"/>
      <x:c r="B1068" s="498"/>
      <x:c r="C1068" s="498"/>
      <x:c r="D1068" s="498"/>
      <x:c r="E1068" s="498"/>
      <x:c r="F1068" s="498"/>
      <x:c r="G1068" s="498"/>
      <x:c r="H1068" s="498"/>
      <x:c r="I1068" s="498"/>
      <x:c r="J1068" s="498"/>
      <x:c r="K1068" s="498"/>
      <x:c r="L1068" s="498"/>
      <x:c r="M1068" s="498"/>
    </x:row>
    <x:row r="1069" ht="18" customHeight="1">
      <x:c r="A1069" s="498"/>
      <x:c r="B1069" s="498"/>
      <x:c r="C1069" s="498"/>
      <x:c r="D1069" s="498"/>
      <x:c r="E1069" s="498"/>
      <x:c r="F1069" s="498"/>
      <x:c r="G1069" s="498"/>
      <x:c r="H1069" s="498"/>
      <x:c r="I1069" s="498"/>
      <x:c r="J1069" s="498"/>
      <x:c r="K1069" s="498"/>
      <x:c r="L1069" s="498"/>
      <x:c r="M1069" s="498"/>
    </x:row>
    <x:row r="1070" ht="18" customHeight="1">
      <x:c r="A1070" s="498"/>
      <x:c r="B1070" s="498"/>
      <x:c r="C1070" s="498"/>
      <x:c r="D1070" s="498"/>
      <x:c r="E1070" s="498"/>
      <x:c r="F1070" s="498"/>
      <x:c r="G1070" s="498"/>
      <x:c r="H1070" s="498"/>
      <x:c r="I1070" s="498"/>
      <x:c r="J1070" s="498"/>
      <x:c r="K1070" s="498"/>
      <x:c r="L1070" s="498"/>
      <x:c r="M1070" s="498"/>
    </x:row>
    <x:row r="1071" ht="18" customHeight="1">
      <x:c r="A1071" s="498"/>
      <x:c r="B1071" s="498"/>
      <x:c r="C1071" s="498"/>
      <x:c r="D1071" s="498"/>
      <x:c r="E1071" s="498"/>
      <x:c r="F1071" s="498"/>
      <x:c r="G1071" s="498"/>
      <x:c r="H1071" s="498"/>
      <x:c r="I1071" s="498"/>
      <x:c r="J1071" s="498"/>
      <x:c r="K1071" s="498"/>
      <x:c r="L1071" s="498"/>
      <x:c r="M1071" s="498"/>
    </x:row>
    <x:row r="1072" ht="18" customHeight="1">
      <x:c r="A1072" s="498"/>
      <x:c r="B1072" s="498"/>
      <x:c r="C1072" s="498"/>
      <x:c r="D1072" s="498"/>
      <x:c r="E1072" s="498"/>
      <x:c r="F1072" s="498"/>
      <x:c r="G1072" s="498"/>
      <x:c r="H1072" s="498"/>
      <x:c r="I1072" s="498"/>
      <x:c r="J1072" s="498"/>
      <x:c r="K1072" s="498"/>
      <x:c r="L1072" s="498"/>
      <x:c r="M1072" s="498"/>
    </x:row>
    <x:row r="1073" ht="18" customHeight="1">
      <x:c r="A1073" s="498"/>
      <x:c r="B1073" s="498"/>
      <x:c r="C1073" s="498"/>
      <x:c r="D1073" s="498"/>
      <x:c r="E1073" s="498"/>
      <x:c r="F1073" s="498"/>
      <x:c r="G1073" s="498"/>
      <x:c r="H1073" s="498"/>
      <x:c r="I1073" s="498"/>
      <x:c r="J1073" s="498"/>
      <x:c r="K1073" s="498"/>
      <x:c r="L1073" s="498"/>
      <x:c r="M1073" s="498"/>
    </x:row>
    <x:row r="1074" ht="18" customHeight="1">
      <x:c r="A1074" s="498"/>
      <x:c r="B1074" s="498"/>
      <x:c r="C1074" s="498"/>
      <x:c r="D1074" s="498"/>
      <x:c r="E1074" s="498"/>
      <x:c r="F1074" s="498"/>
      <x:c r="G1074" s="498"/>
      <x:c r="H1074" s="498"/>
      <x:c r="I1074" s="498"/>
      <x:c r="J1074" s="498"/>
      <x:c r="K1074" s="498"/>
      <x:c r="L1074" s="498"/>
      <x:c r="M1074" s="498"/>
    </x:row>
    <x:row r="1075" ht="18" customHeight="1">
      <x:c r="A1075" s="498"/>
      <x:c r="B1075" s="498"/>
      <x:c r="C1075" s="498"/>
      <x:c r="D1075" s="498"/>
      <x:c r="E1075" s="498"/>
      <x:c r="F1075" s="498"/>
      <x:c r="G1075" s="498"/>
      <x:c r="H1075" s="498"/>
      <x:c r="I1075" s="498"/>
      <x:c r="J1075" s="498"/>
      <x:c r="K1075" s="498"/>
      <x:c r="L1075" s="498"/>
      <x:c r="M1075" s="498"/>
    </x:row>
    <x:row r="1076" ht="18" customHeight="1">
      <x:c r="A1076" s="498"/>
      <x:c r="B1076" s="498"/>
      <x:c r="C1076" s="498"/>
      <x:c r="D1076" s="498"/>
      <x:c r="E1076" s="498"/>
      <x:c r="F1076" s="498"/>
      <x:c r="G1076" s="498"/>
      <x:c r="H1076" s="498"/>
      <x:c r="I1076" s="498"/>
      <x:c r="J1076" s="498"/>
      <x:c r="K1076" s="498"/>
      <x:c r="L1076" s="498"/>
      <x:c r="M1076" s="498"/>
    </x:row>
    <x:row r="1077" ht="18" customHeight="1">
      <x:c r="A1077" s="498"/>
      <x:c r="B1077" s="498"/>
      <x:c r="C1077" s="498"/>
      <x:c r="D1077" s="498"/>
      <x:c r="E1077" s="498"/>
      <x:c r="F1077" s="498"/>
      <x:c r="G1077" s="498"/>
      <x:c r="H1077" s="498"/>
      <x:c r="I1077" s="498"/>
      <x:c r="J1077" s="498"/>
      <x:c r="K1077" s="498"/>
      <x:c r="L1077" s="498"/>
      <x:c r="M1077" s="498"/>
    </x:row>
    <x:row r="1078" ht="18" customHeight="1">
      <x:c r="A1078" s="498"/>
      <x:c r="B1078" s="498"/>
      <x:c r="C1078" s="498"/>
      <x:c r="D1078" s="498"/>
      <x:c r="E1078" s="498"/>
      <x:c r="F1078" s="498"/>
      <x:c r="G1078" s="498"/>
      <x:c r="H1078" s="498"/>
      <x:c r="I1078" s="498"/>
      <x:c r="J1078" s="498"/>
      <x:c r="K1078" s="498"/>
      <x:c r="L1078" s="498"/>
      <x:c r="M1078" s="498"/>
    </x:row>
    <x:row r="1079" ht="18" customHeight="1">
      <x:c r="A1079" s="498"/>
      <x:c r="B1079" s="498"/>
      <x:c r="C1079" s="498"/>
      <x:c r="D1079" s="498"/>
      <x:c r="E1079" s="498"/>
      <x:c r="F1079" s="498"/>
      <x:c r="G1079" s="498"/>
      <x:c r="H1079" s="498"/>
      <x:c r="I1079" s="498"/>
      <x:c r="J1079" s="498"/>
      <x:c r="K1079" s="498"/>
      <x:c r="L1079" s="498"/>
      <x:c r="M1079" s="498"/>
    </x:row>
    <x:row r="1080" ht="18" customHeight="1">
      <x:c r="A1080" s="498"/>
      <x:c r="B1080" s="498"/>
      <x:c r="C1080" s="498"/>
      <x:c r="D1080" s="498"/>
      <x:c r="E1080" s="498"/>
      <x:c r="F1080" s="498"/>
      <x:c r="G1080" s="498"/>
      <x:c r="H1080" s="498"/>
      <x:c r="I1080" s="498"/>
      <x:c r="J1080" s="498"/>
      <x:c r="K1080" s="498"/>
      <x:c r="L1080" s="498"/>
      <x:c r="M1080" s="498"/>
    </x:row>
    <x:row r="1081" ht="18" customHeight="1">
      <x:c r="A1081" s="498"/>
      <x:c r="B1081" s="498"/>
      <x:c r="C1081" s="498"/>
      <x:c r="D1081" s="498"/>
      <x:c r="E1081" s="498"/>
      <x:c r="F1081" s="498"/>
      <x:c r="G1081" s="498"/>
      <x:c r="H1081" s="498"/>
      <x:c r="I1081" s="498"/>
      <x:c r="J1081" s="498"/>
      <x:c r="K1081" s="498"/>
      <x:c r="L1081" s="498"/>
      <x:c r="M1081" s="498"/>
    </x:row>
    <x:row r="1082" ht="18" customHeight="1">
      <x:c r="A1082" s="498"/>
      <x:c r="B1082" s="498"/>
      <x:c r="C1082" s="498"/>
      <x:c r="D1082" s="498"/>
      <x:c r="E1082" s="498"/>
      <x:c r="F1082" s="498"/>
      <x:c r="G1082" s="498"/>
      <x:c r="H1082" s="498"/>
      <x:c r="I1082" s="498"/>
      <x:c r="J1082" s="498"/>
      <x:c r="K1082" s="498"/>
      <x:c r="L1082" s="498"/>
      <x:c r="M1082" s="498"/>
    </x:row>
    <x:row r="1083" ht="18" customHeight="1">
      <x:c r="A1083" s="498"/>
      <x:c r="B1083" s="498"/>
      <x:c r="C1083" s="498"/>
      <x:c r="D1083" s="498"/>
      <x:c r="E1083" s="498"/>
      <x:c r="F1083" s="498"/>
      <x:c r="G1083" s="498"/>
      <x:c r="H1083" s="498"/>
      <x:c r="I1083" s="498"/>
      <x:c r="J1083" s="498"/>
      <x:c r="K1083" s="498"/>
      <x:c r="L1083" s="498"/>
      <x:c r="M1083" s="498"/>
    </x:row>
    <x:row r="1084" ht="18" customHeight="1">
      <x:c r="A1084" s="498"/>
      <x:c r="B1084" s="498"/>
      <x:c r="C1084" s="498"/>
      <x:c r="D1084" s="498"/>
      <x:c r="E1084" s="498"/>
      <x:c r="F1084" s="498"/>
      <x:c r="G1084" s="498"/>
      <x:c r="H1084" s="498"/>
      <x:c r="I1084" s="498"/>
      <x:c r="J1084" s="498"/>
      <x:c r="K1084" s="498"/>
      <x:c r="L1084" s="498"/>
      <x:c r="M1084" s="498"/>
    </x:row>
    <x:row r="1085" ht="18" customHeight="1">
      <x:c r="A1085" s="498"/>
      <x:c r="B1085" s="498"/>
      <x:c r="C1085" s="498"/>
      <x:c r="D1085" s="498"/>
      <x:c r="E1085" s="498"/>
      <x:c r="F1085" s="498"/>
      <x:c r="G1085" s="498"/>
      <x:c r="H1085" s="498"/>
      <x:c r="I1085" s="498"/>
      <x:c r="J1085" s="498"/>
      <x:c r="K1085" s="498"/>
      <x:c r="L1085" s="498"/>
      <x:c r="M1085" s="498"/>
    </x:row>
    <x:row r="1086" ht="18" customHeight="1">
      <x:c r="A1086" s="498"/>
      <x:c r="B1086" s="498"/>
      <x:c r="C1086" s="498"/>
      <x:c r="D1086" s="498"/>
      <x:c r="E1086" s="498"/>
      <x:c r="F1086" s="498"/>
      <x:c r="G1086" s="498"/>
      <x:c r="H1086" s="498"/>
      <x:c r="I1086" s="498"/>
      <x:c r="J1086" s="498"/>
      <x:c r="K1086" s="498"/>
      <x:c r="L1086" s="498"/>
      <x:c r="M1086" s="498"/>
    </x:row>
    <x:row r="1087" ht="18" customHeight="1">
      <x:c r="A1087" s="498"/>
      <x:c r="B1087" s="498"/>
      <x:c r="C1087" s="498"/>
      <x:c r="D1087" s="498"/>
      <x:c r="E1087" s="498"/>
      <x:c r="F1087" s="498"/>
      <x:c r="G1087" s="498"/>
      <x:c r="H1087" s="498"/>
      <x:c r="I1087" s="498"/>
      <x:c r="J1087" s="498"/>
      <x:c r="K1087" s="498"/>
      <x:c r="L1087" s="498"/>
      <x:c r="M1087" s="498"/>
    </x:row>
    <x:row r="1088" ht="18" customHeight="1">
      <x:c r="A1088" s="498"/>
      <x:c r="B1088" s="498"/>
      <x:c r="C1088" s="498"/>
      <x:c r="D1088" s="498"/>
      <x:c r="E1088" s="498"/>
      <x:c r="F1088" s="498"/>
      <x:c r="G1088" s="498"/>
      <x:c r="H1088" s="498"/>
      <x:c r="I1088" s="498"/>
      <x:c r="J1088" s="498"/>
      <x:c r="K1088" s="498"/>
      <x:c r="L1088" s="498"/>
      <x:c r="M1088" s="498"/>
    </x:row>
    <x:row r="1089" ht="18" customHeight="1">
      <x:c r="A1089" s="498"/>
      <x:c r="B1089" s="498"/>
      <x:c r="C1089" s="498"/>
      <x:c r="D1089" s="498"/>
      <x:c r="E1089" s="498"/>
      <x:c r="F1089" s="498"/>
      <x:c r="G1089" s="498"/>
      <x:c r="H1089" s="498"/>
      <x:c r="I1089" s="498"/>
      <x:c r="J1089" s="498"/>
      <x:c r="K1089" s="498"/>
      <x:c r="L1089" s="498"/>
      <x:c r="M1089" s="498"/>
    </x:row>
    <x:row r="1090" ht="18" customHeight="1">
      <x:c r="A1090" s="498"/>
      <x:c r="B1090" s="498"/>
      <x:c r="C1090" s="498"/>
      <x:c r="D1090" s="498"/>
      <x:c r="E1090" s="498"/>
      <x:c r="F1090" s="498"/>
      <x:c r="G1090" s="498"/>
      <x:c r="H1090" s="498"/>
      <x:c r="I1090" s="498"/>
      <x:c r="J1090" s="498"/>
      <x:c r="K1090" s="498"/>
      <x:c r="L1090" s="498"/>
      <x:c r="M1090" s="498"/>
    </x:row>
    <x:row r="1091" ht="18" customHeight="1">
      <x:c r="A1091" s="498"/>
      <x:c r="B1091" s="498"/>
      <x:c r="C1091" s="498"/>
      <x:c r="D1091" s="498"/>
      <x:c r="E1091" s="498"/>
      <x:c r="F1091" s="498"/>
      <x:c r="G1091" s="498"/>
      <x:c r="H1091" s="498"/>
      <x:c r="I1091" s="498"/>
      <x:c r="J1091" s="498"/>
      <x:c r="K1091" s="498"/>
      <x:c r="L1091" s="498"/>
      <x:c r="M1091" s="498"/>
    </x:row>
    <x:row r="1092" ht="18" customHeight="1">
      <x:c r="A1092" s="498"/>
      <x:c r="B1092" s="498"/>
      <x:c r="C1092" s="498"/>
      <x:c r="D1092" s="498"/>
      <x:c r="E1092" s="498"/>
      <x:c r="F1092" s="498"/>
      <x:c r="G1092" s="498"/>
      <x:c r="H1092" s="498"/>
      <x:c r="I1092" s="498"/>
      <x:c r="J1092" s="498"/>
      <x:c r="K1092" s="498"/>
      <x:c r="L1092" s="498"/>
      <x:c r="M1092" s="498"/>
    </x:row>
    <x:row r="1093" ht="18" customHeight="1">
      <x:c r="A1093" s="498"/>
      <x:c r="B1093" s="498"/>
      <x:c r="C1093" s="498"/>
      <x:c r="D1093" s="498"/>
      <x:c r="E1093" s="498"/>
      <x:c r="F1093" s="498"/>
      <x:c r="G1093" s="498"/>
      <x:c r="H1093" s="498"/>
      <x:c r="I1093" s="498"/>
      <x:c r="J1093" s="498"/>
      <x:c r="K1093" s="498"/>
      <x:c r="L1093" s="498"/>
      <x:c r="M1093" s="498"/>
    </x:row>
    <x:row r="1094" ht="18" customHeight="1">
      <x:c r="A1094" s="498"/>
      <x:c r="B1094" s="498"/>
      <x:c r="C1094" s="498"/>
      <x:c r="D1094" s="498"/>
      <x:c r="E1094" s="498"/>
      <x:c r="F1094" s="498"/>
      <x:c r="G1094" s="498"/>
      <x:c r="H1094" s="498"/>
      <x:c r="I1094" s="498"/>
      <x:c r="J1094" s="498"/>
      <x:c r="K1094" s="498"/>
      <x:c r="L1094" s="498"/>
      <x:c r="M1094" s="498"/>
    </x:row>
    <x:row r="1095" ht="18" customHeight="1">
      <x:c r="A1095" s="498"/>
      <x:c r="B1095" s="498"/>
      <x:c r="C1095" s="498"/>
      <x:c r="D1095" s="498"/>
      <x:c r="E1095" s="498"/>
      <x:c r="F1095" s="498"/>
      <x:c r="G1095" s="498"/>
      <x:c r="H1095" s="498"/>
      <x:c r="I1095" s="498"/>
      <x:c r="J1095" s="498"/>
      <x:c r="K1095" s="498"/>
      <x:c r="L1095" s="498"/>
      <x:c r="M1095" s="498"/>
    </x:row>
    <x:row r="1096" ht="18" customHeight="1">
      <x:c r="A1096" s="498"/>
      <x:c r="B1096" s="498"/>
      <x:c r="C1096" s="498"/>
      <x:c r="D1096" s="498"/>
      <x:c r="E1096" s="498"/>
      <x:c r="F1096" s="498"/>
      <x:c r="G1096" s="498"/>
      <x:c r="H1096" s="498"/>
      <x:c r="I1096" s="498"/>
      <x:c r="J1096" s="498"/>
      <x:c r="K1096" s="498"/>
      <x:c r="L1096" s="498"/>
      <x:c r="M1096" s="498"/>
    </x:row>
    <x:row r="1097" ht="18" customHeight="1">
      <x:c r="A1097" s="498"/>
      <x:c r="B1097" s="498"/>
      <x:c r="C1097" s="498"/>
      <x:c r="D1097" s="498"/>
      <x:c r="E1097" s="498"/>
      <x:c r="F1097" s="498"/>
      <x:c r="G1097" s="498"/>
      <x:c r="H1097" s="498"/>
      <x:c r="I1097" s="498"/>
      <x:c r="J1097" s="498"/>
      <x:c r="K1097" s="498"/>
      <x:c r="L1097" s="498"/>
      <x:c r="M1097" s="498"/>
    </x:row>
    <x:row r="1098" ht="18" customHeight="1">
      <x:c r="A1098" s="498"/>
      <x:c r="B1098" s="498"/>
      <x:c r="C1098" s="498"/>
      <x:c r="D1098" s="498"/>
      <x:c r="E1098" s="498"/>
      <x:c r="F1098" s="498"/>
      <x:c r="G1098" s="498"/>
      <x:c r="H1098" s="498"/>
      <x:c r="I1098" s="498"/>
      <x:c r="J1098" s="498"/>
      <x:c r="K1098" s="498"/>
      <x:c r="L1098" s="498"/>
      <x:c r="M1098" s="498"/>
    </x:row>
    <x:row r="1099" ht="18" customHeight="1">
      <x:c r="A1099" s="498"/>
      <x:c r="B1099" s="498"/>
      <x:c r="C1099" s="498"/>
      <x:c r="D1099" s="498"/>
      <x:c r="E1099" s="498"/>
      <x:c r="F1099" s="498"/>
      <x:c r="G1099" s="498"/>
      <x:c r="H1099" s="498"/>
      <x:c r="I1099" s="498"/>
      <x:c r="J1099" s="498"/>
      <x:c r="K1099" s="498"/>
      <x:c r="L1099" s="498"/>
      <x:c r="M1099" s="498"/>
    </x:row>
    <x:row r="1100" ht="18" customHeight="1">
      <x:c r="A1100" s="498"/>
      <x:c r="B1100" s="498"/>
      <x:c r="C1100" s="498"/>
      <x:c r="D1100" s="498"/>
      <x:c r="E1100" s="498"/>
      <x:c r="F1100" s="498"/>
      <x:c r="G1100" s="498"/>
      <x:c r="H1100" s="498"/>
      <x:c r="I1100" s="498"/>
      <x:c r="J1100" s="498"/>
      <x:c r="K1100" s="498"/>
      <x:c r="L1100" s="498"/>
      <x:c r="M1100" s="498"/>
    </x:row>
    <x:row r="1101" ht="18" customHeight="1">
      <x:c r="A1101" s="498"/>
      <x:c r="B1101" s="498"/>
      <x:c r="C1101" s="498"/>
      <x:c r="D1101" s="498"/>
      <x:c r="E1101" s="498"/>
      <x:c r="F1101" s="498"/>
      <x:c r="G1101" s="498"/>
      <x:c r="H1101" s="498"/>
      <x:c r="I1101" s="498"/>
      <x:c r="J1101" s="498"/>
      <x:c r="K1101" s="498"/>
      <x:c r="L1101" s="498"/>
      <x:c r="M1101" s="498"/>
    </x:row>
    <x:row r="1102" ht="18" customHeight="1">
      <x:c r="A1102" s="498"/>
      <x:c r="B1102" s="498"/>
      <x:c r="C1102" s="498"/>
      <x:c r="D1102" s="498"/>
      <x:c r="E1102" s="498"/>
      <x:c r="F1102" s="498"/>
      <x:c r="G1102" s="498"/>
      <x:c r="H1102" s="498"/>
      <x:c r="I1102" s="498"/>
      <x:c r="J1102" s="498"/>
      <x:c r="K1102" s="498"/>
      <x:c r="L1102" s="498"/>
      <x:c r="M1102" s="498"/>
    </x:row>
    <x:row r="1103" ht="18" customHeight="1">
      <x:c r="A1103" s="498"/>
      <x:c r="B1103" s="498"/>
      <x:c r="C1103" s="498"/>
      <x:c r="D1103" s="498"/>
      <x:c r="E1103" s="498"/>
      <x:c r="F1103" s="498"/>
      <x:c r="G1103" s="498"/>
      <x:c r="H1103" s="498"/>
      <x:c r="I1103" s="498"/>
      <x:c r="J1103" s="498"/>
      <x:c r="K1103" s="498"/>
      <x:c r="L1103" s="498"/>
      <x:c r="M1103" s="498"/>
    </x:row>
    <x:row r="1104" ht="18" customHeight="1">
      <x:c r="A1104" s="498"/>
      <x:c r="B1104" s="498"/>
      <x:c r="C1104" s="498"/>
      <x:c r="D1104" s="498"/>
      <x:c r="E1104" s="498"/>
      <x:c r="F1104" s="498"/>
      <x:c r="G1104" s="498"/>
      <x:c r="H1104" s="498"/>
      <x:c r="I1104" s="498"/>
      <x:c r="J1104" s="498"/>
      <x:c r="K1104" s="498"/>
      <x:c r="L1104" s="498"/>
      <x:c r="M1104" s="498"/>
    </x:row>
    <x:row r="1105" ht="18" customHeight="1">
      <x:c r="A1105" s="498"/>
      <x:c r="B1105" s="498"/>
      <x:c r="C1105" s="498"/>
      <x:c r="D1105" s="498"/>
      <x:c r="E1105" s="498"/>
      <x:c r="F1105" s="498"/>
      <x:c r="G1105" s="498"/>
      <x:c r="H1105" s="498"/>
      <x:c r="I1105" s="498"/>
      <x:c r="J1105" s="498"/>
      <x:c r="K1105" s="498"/>
      <x:c r="L1105" s="498"/>
      <x:c r="M1105" s="498"/>
    </x:row>
    <x:row r="1106" ht="18" customHeight="1">
      <x:c r="A1106" s="498"/>
      <x:c r="B1106" s="498"/>
      <x:c r="C1106" s="498"/>
      <x:c r="D1106" s="498"/>
      <x:c r="E1106" s="498"/>
      <x:c r="F1106" s="498"/>
      <x:c r="G1106" s="498"/>
      <x:c r="H1106" s="498"/>
      <x:c r="I1106" s="498"/>
      <x:c r="J1106" s="498"/>
      <x:c r="K1106" s="498"/>
      <x:c r="L1106" s="498"/>
      <x:c r="M1106" s="498"/>
    </x:row>
    <x:row r="1107" ht="18" customHeight="1">
      <x:c r="A1107" s="498"/>
      <x:c r="B1107" s="498"/>
      <x:c r="C1107" s="498"/>
      <x:c r="D1107" s="498"/>
      <x:c r="E1107" s="498"/>
      <x:c r="F1107" s="498"/>
      <x:c r="G1107" s="498"/>
      <x:c r="H1107" s="498"/>
      <x:c r="I1107" s="498"/>
      <x:c r="J1107" s="498"/>
      <x:c r="K1107" s="498"/>
      <x:c r="L1107" s="498"/>
      <x:c r="M1107" s="498"/>
    </x:row>
    <x:row r="1108" ht="18" customHeight="1">
      <x:c r="A1108" s="498"/>
      <x:c r="B1108" s="498"/>
      <x:c r="C1108" s="498"/>
      <x:c r="D1108" s="498"/>
      <x:c r="E1108" s="498"/>
      <x:c r="F1108" s="498"/>
      <x:c r="G1108" s="498"/>
      <x:c r="H1108" s="498"/>
      <x:c r="I1108" s="498"/>
      <x:c r="J1108" s="498"/>
      <x:c r="K1108" s="498"/>
      <x:c r="L1108" s="498"/>
      <x:c r="M1108" s="498"/>
    </x:row>
    <x:row r="1109" ht="18" customHeight="1">
      <x:c r="A1109" s="498"/>
      <x:c r="B1109" s="498"/>
      <x:c r="C1109" s="498"/>
      <x:c r="D1109" s="498"/>
      <x:c r="E1109" s="498"/>
      <x:c r="F1109" s="498"/>
      <x:c r="G1109" s="498"/>
      <x:c r="H1109" s="498"/>
      <x:c r="I1109" s="498"/>
      <x:c r="J1109" s="498"/>
      <x:c r="K1109" s="498"/>
      <x:c r="L1109" s="498"/>
      <x:c r="M1109" s="498"/>
    </x:row>
    <x:row r="1110" ht="18" customHeight="1">
      <x:c r="A1110" s="498"/>
      <x:c r="B1110" s="498"/>
      <x:c r="C1110" s="498"/>
      <x:c r="D1110" s="498"/>
      <x:c r="E1110" s="498"/>
      <x:c r="F1110" s="498"/>
      <x:c r="G1110" s="498"/>
      <x:c r="H1110" s="498"/>
      <x:c r="I1110" s="498"/>
      <x:c r="J1110" s="498"/>
      <x:c r="K1110" s="498"/>
      <x:c r="L1110" s="498"/>
      <x:c r="M1110" s="498"/>
    </x:row>
    <x:row r="1111" ht="18" customHeight="1">
      <x:c r="A1111" s="498"/>
      <x:c r="B1111" s="498"/>
      <x:c r="C1111" s="498"/>
      <x:c r="D1111" s="498"/>
      <x:c r="E1111" s="498"/>
      <x:c r="F1111" s="498"/>
      <x:c r="G1111" s="498"/>
      <x:c r="H1111" s="498"/>
      <x:c r="I1111" s="498"/>
      <x:c r="J1111" s="498"/>
      <x:c r="K1111" s="498"/>
      <x:c r="L1111" s="498"/>
      <x:c r="M1111" s="498"/>
    </x:row>
    <x:row r="1112" ht="18" customHeight="1">
      <x:c r="A1112" s="498"/>
      <x:c r="B1112" s="498"/>
      <x:c r="C1112" s="498"/>
      <x:c r="D1112" s="498"/>
      <x:c r="E1112" s="498"/>
      <x:c r="F1112" s="498"/>
      <x:c r="G1112" s="498"/>
      <x:c r="H1112" s="498"/>
      <x:c r="I1112" s="498"/>
      <x:c r="J1112" s="498"/>
      <x:c r="K1112" s="498"/>
      <x:c r="L1112" s="498"/>
      <x:c r="M1112" s="498"/>
    </x:row>
    <x:row r="1113" ht="18" customHeight="1">
      <x:c r="A1113" s="498"/>
      <x:c r="B1113" s="498"/>
      <x:c r="C1113" s="498"/>
      <x:c r="D1113" s="498"/>
      <x:c r="E1113" s="498"/>
      <x:c r="F1113" s="498"/>
      <x:c r="G1113" s="498"/>
      <x:c r="H1113" s="498"/>
      <x:c r="I1113" s="498"/>
      <x:c r="J1113" s="498"/>
      <x:c r="K1113" s="498"/>
      <x:c r="L1113" s="498"/>
      <x:c r="M1113" s="498"/>
    </x:row>
    <x:row r="1114" ht="18" customHeight="1">
      <x:c r="A1114" s="498"/>
      <x:c r="B1114" s="498"/>
      <x:c r="C1114" s="498"/>
      <x:c r="D1114" s="498"/>
      <x:c r="E1114" s="498"/>
      <x:c r="F1114" s="498"/>
      <x:c r="G1114" s="498"/>
      <x:c r="H1114" s="498"/>
      <x:c r="I1114" s="498"/>
      <x:c r="J1114" s="498"/>
      <x:c r="K1114" s="498"/>
      <x:c r="L1114" s="498"/>
      <x:c r="M1114" s="498"/>
    </x:row>
    <x:row r="1115" ht="18" customHeight="1">
      <x:c r="A1115" s="498"/>
      <x:c r="B1115" s="498"/>
      <x:c r="C1115" s="498"/>
      <x:c r="D1115" s="498"/>
      <x:c r="E1115" s="498"/>
      <x:c r="F1115" s="498"/>
      <x:c r="G1115" s="498"/>
      <x:c r="H1115" s="498"/>
      <x:c r="I1115" s="498"/>
      <x:c r="J1115" s="498"/>
      <x:c r="K1115" s="498"/>
      <x:c r="L1115" s="498"/>
      <x:c r="M1115" s="498"/>
    </x:row>
    <x:row r="1116" ht="18" customHeight="1">
      <x:c r="A1116" s="498"/>
      <x:c r="B1116" s="498"/>
      <x:c r="C1116" s="498"/>
      <x:c r="D1116" s="498"/>
      <x:c r="E1116" s="498"/>
      <x:c r="F1116" s="498"/>
      <x:c r="G1116" s="498"/>
      <x:c r="H1116" s="498"/>
      <x:c r="I1116" s="498"/>
      <x:c r="J1116" s="498"/>
      <x:c r="K1116" s="498"/>
      <x:c r="L1116" s="498"/>
      <x:c r="M1116" s="498"/>
    </x:row>
    <x:row r="1117" ht="18" customHeight="1">
      <x:c r="A1117" s="498"/>
      <x:c r="B1117" s="498"/>
      <x:c r="C1117" s="498"/>
      <x:c r="D1117" s="498"/>
      <x:c r="E1117" s="498"/>
      <x:c r="F1117" s="498"/>
      <x:c r="G1117" s="498"/>
      <x:c r="H1117" s="498"/>
      <x:c r="I1117" s="498"/>
      <x:c r="J1117" s="498"/>
      <x:c r="K1117" s="498"/>
      <x:c r="L1117" s="498"/>
      <x:c r="M1117" s="498"/>
    </x:row>
    <x:row r="1118" ht="18" customHeight="1">
      <x:c r="A1118" s="498"/>
      <x:c r="B1118" s="498"/>
      <x:c r="C1118" s="498"/>
      <x:c r="D1118" s="498"/>
      <x:c r="E1118" s="498"/>
      <x:c r="F1118" s="498"/>
      <x:c r="G1118" s="498"/>
      <x:c r="H1118" s="498"/>
      <x:c r="I1118" s="498"/>
      <x:c r="J1118" s="498"/>
      <x:c r="K1118" s="498"/>
      <x:c r="L1118" s="498"/>
      <x:c r="M1118" s="498"/>
    </x:row>
    <x:row r="1119" ht="18" customHeight="1">
      <x:c r="A1119" s="498"/>
      <x:c r="B1119" s="498"/>
      <x:c r="C1119" s="498"/>
      <x:c r="D1119" s="498"/>
      <x:c r="E1119" s="498"/>
      <x:c r="F1119" s="498"/>
      <x:c r="G1119" s="498"/>
      <x:c r="H1119" s="498"/>
      <x:c r="I1119" s="498"/>
      <x:c r="J1119" s="498"/>
      <x:c r="K1119" s="498"/>
      <x:c r="L1119" s="498"/>
      <x:c r="M1119" s="498"/>
    </x:row>
    <x:row r="1120" ht="18" customHeight="1">
      <x:c r="A1120" s="498"/>
      <x:c r="B1120" s="498"/>
      <x:c r="C1120" s="498"/>
      <x:c r="D1120" s="498"/>
      <x:c r="E1120" s="498"/>
      <x:c r="F1120" s="498"/>
      <x:c r="G1120" s="498"/>
      <x:c r="H1120" s="498"/>
      <x:c r="I1120" s="498"/>
      <x:c r="J1120" s="498"/>
      <x:c r="K1120" s="498"/>
      <x:c r="L1120" s="498"/>
      <x:c r="M1120" s="498"/>
    </x:row>
    <x:row r="1121" ht="18" customHeight="1">
      <x:c r="A1121" s="498"/>
      <x:c r="B1121" s="498"/>
      <x:c r="C1121" s="498"/>
      <x:c r="D1121" s="498"/>
      <x:c r="E1121" s="498"/>
      <x:c r="F1121" s="498"/>
      <x:c r="G1121" s="498"/>
      <x:c r="H1121" s="498"/>
      <x:c r="I1121" s="498"/>
      <x:c r="J1121" s="498"/>
      <x:c r="K1121" s="498"/>
      <x:c r="L1121" s="498"/>
      <x:c r="M1121" s="498"/>
    </x:row>
    <x:row r="1122" ht="18" customHeight="1">
      <x:c r="A1122" s="498"/>
      <x:c r="B1122" s="498"/>
      <x:c r="C1122" s="498"/>
      <x:c r="D1122" s="498"/>
      <x:c r="E1122" s="498"/>
      <x:c r="F1122" s="498"/>
      <x:c r="G1122" s="498"/>
      <x:c r="H1122" s="498"/>
      <x:c r="I1122" s="498"/>
      <x:c r="J1122" s="498"/>
      <x:c r="K1122" s="498"/>
      <x:c r="L1122" s="498"/>
      <x:c r="M1122" s="498"/>
    </x:row>
    <x:row r="1123" ht="18" customHeight="1">
      <x:c r="A1123" s="498"/>
      <x:c r="B1123" s="498"/>
      <x:c r="C1123" s="498"/>
      <x:c r="D1123" s="498"/>
      <x:c r="E1123" s="498"/>
      <x:c r="F1123" s="498"/>
      <x:c r="G1123" s="498"/>
      <x:c r="H1123" s="498"/>
      <x:c r="I1123" s="498"/>
      <x:c r="J1123" s="498"/>
      <x:c r="K1123" s="498"/>
      <x:c r="L1123" s="498"/>
      <x:c r="M1123" s="498"/>
    </x:row>
    <x:row r="1124" ht="18" customHeight="1">
      <x:c r="A1124" s="498"/>
      <x:c r="B1124" s="498"/>
      <x:c r="C1124" s="498"/>
      <x:c r="D1124" s="498"/>
      <x:c r="E1124" s="498"/>
      <x:c r="F1124" s="498"/>
      <x:c r="G1124" s="498"/>
      <x:c r="H1124" s="498"/>
      <x:c r="I1124" s="498"/>
      <x:c r="J1124" s="498"/>
      <x:c r="K1124" s="498"/>
      <x:c r="L1124" s="498"/>
      <x:c r="M1124" s="498"/>
    </x:row>
    <x:row r="1125" ht="18" customHeight="1">
      <x:c r="A1125" s="498"/>
      <x:c r="B1125" s="498"/>
      <x:c r="C1125" s="498"/>
      <x:c r="D1125" s="498"/>
      <x:c r="E1125" s="498"/>
      <x:c r="F1125" s="498"/>
      <x:c r="G1125" s="498"/>
      <x:c r="H1125" s="498"/>
      <x:c r="I1125" s="498"/>
      <x:c r="J1125" s="498"/>
      <x:c r="K1125" s="498"/>
      <x:c r="L1125" s="498"/>
      <x:c r="M1125" s="498"/>
    </x:row>
    <x:row r="1126" ht="18" customHeight="1">
      <x:c r="A1126" s="498"/>
      <x:c r="B1126" s="498"/>
      <x:c r="C1126" s="498"/>
      <x:c r="D1126" s="498"/>
      <x:c r="E1126" s="498"/>
      <x:c r="F1126" s="498"/>
      <x:c r="G1126" s="498"/>
      <x:c r="H1126" s="498"/>
      <x:c r="I1126" s="498"/>
      <x:c r="J1126" s="498"/>
      <x:c r="K1126" s="498"/>
      <x:c r="L1126" s="498"/>
      <x:c r="M1126" s="498"/>
    </x:row>
    <x:row r="1127" ht="18" customHeight="1">
      <x:c r="A1127" s="498"/>
      <x:c r="B1127" s="498"/>
      <x:c r="C1127" s="498"/>
      <x:c r="D1127" s="498"/>
      <x:c r="E1127" s="498"/>
      <x:c r="F1127" s="498"/>
      <x:c r="G1127" s="498"/>
      <x:c r="H1127" s="498"/>
      <x:c r="I1127" s="498"/>
      <x:c r="J1127" s="498"/>
      <x:c r="K1127" s="498"/>
      <x:c r="L1127" s="498"/>
      <x:c r="M1127" s="498"/>
    </x:row>
    <x:row r="1128" ht="18" customHeight="1">
      <x:c r="A1128" s="498"/>
      <x:c r="B1128" s="498"/>
      <x:c r="C1128" s="498"/>
      <x:c r="D1128" s="498"/>
      <x:c r="E1128" s="498"/>
      <x:c r="F1128" s="498"/>
      <x:c r="G1128" s="498"/>
      <x:c r="H1128" s="498"/>
      <x:c r="I1128" s="498"/>
      <x:c r="J1128" s="498"/>
      <x:c r="K1128" s="498"/>
      <x:c r="L1128" s="498"/>
      <x:c r="M1128" s="498"/>
    </x:row>
    <x:row r="1129" ht="18" customHeight="1">
      <x:c r="A1129" s="498"/>
      <x:c r="B1129" s="498"/>
      <x:c r="C1129" s="498"/>
      <x:c r="D1129" s="498"/>
      <x:c r="E1129" s="498"/>
      <x:c r="F1129" s="498"/>
      <x:c r="G1129" s="498"/>
      <x:c r="H1129" s="498"/>
      <x:c r="I1129" s="498"/>
      <x:c r="J1129" s="498"/>
      <x:c r="K1129" s="498"/>
      <x:c r="L1129" s="498"/>
      <x:c r="M1129" s="498"/>
    </x:row>
    <x:row r="1130" ht="18" customHeight="1">
      <x:c r="A1130" s="498"/>
      <x:c r="B1130" s="498"/>
      <x:c r="C1130" s="498"/>
      <x:c r="D1130" s="498"/>
      <x:c r="E1130" s="498"/>
      <x:c r="F1130" s="498"/>
      <x:c r="G1130" s="498"/>
      <x:c r="H1130" s="498"/>
      <x:c r="I1130" s="498"/>
      <x:c r="J1130" s="498"/>
      <x:c r="K1130" s="498"/>
      <x:c r="L1130" s="498"/>
      <x:c r="M1130" s="498"/>
    </x:row>
    <x:row r="1131" ht="18" customHeight="1">
      <x:c r="A1131" s="498"/>
      <x:c r="B1131" s="498"/>
      <x:c r="C1131" s="498"/>
      <x:c r="D1131" s="498"/>
      <x:c r="E1131" s="498"/>
      <x:c r="F1131" s="498"/>
      <x:c r="G1131" s="498"/>
      <x:c r="H1131" s="498"/>
      <x:c r="I1131" s="498"/>
      <x:c r="J1131" s="498"/>
      <x:c r="K1131" s="498"/>
      <x:c r="L1131" s="498"/>
      <x:c r="M1131" s="498"/>
    </x:row>
    <x:row r="1132" ht="18" customHeight="1">
      <x:c r="A1132" s="498"/>
      <x:c r="B1132" s="498"/>
      <x:c r="C1132" s="498"/>
      <x:c r="D1132" s="498"/>
      <x:c r="E1132" s="498"/>
      <x:c r="F1132" s="498"/>
      <x:c r="G1132" s="498"/>
      <x:c r="H1132" s="498"/>
      <x:c r="I1132" s="498"/>
      <x:c r="J1132" s="498"/>
      <x:c r="K1132" s="498"/>
      <x:c r="L1132" s="498"/>
      <x:c r="M1132" s="498"/>
    </x:row>
    <x:row r="1133" ht="18" customHeight="1">
      <x:c r="A1133" s="498"/>
      <x:c r="B1133" s="498"/>
      <x:c r="C1133" s="498"/>
      <x:c r="D1133" s="498"/>
      <x:c r="E1133" s="498"/>
      <x:c r="F1133" s="498"/>
      <x:c r="G1133" s="498"/>
      <x:c r="H1133" s="498"/>
      <x:c r="I1133" s="498"/>
      <x:c r="J1133" s="498"/>
      <x:c r="K1133" s="498"/>
      <x:c r="L1133" s="498"/>
      <x:c r="M1133" s="498"/>
    </x:row>
    <x:row r="1134" ht="18" customHeight="1">
      <x:c r="A1134" s="498"/>
      <x:c r="B1134" s="498"/>
      <x:c r="C1134" s="498"/>
      <x:c r="D1134" s="498"/>
      <x:c r="E1134" s="498"/>
      <x:c r="F1134" s="498"/>
      <x:c r="G1134" s="498"/>
      <x:c r="H1134" s="498"/>
      <x:c r="I1134" s="498"/>
      <x:c r="J1134" s="498"/>
      <x:c r="K1134" s="498"/>
      <x:c r="L1134" s="498"/>
      <x:c r="M1134" s="498"/>
    </x:row>
    <x:row r="1135" ht="18" customHeight="1">
      <x:c r="A1135" s="498"/>
      <x:c r="B1135" s="498"/>
      <x:c r="C1135" s="498"/>
      <x:c r="D1135" s="498"/>
      <x:c r="E1135" s="498"/>
      <x:c r="F1135" s="498"/>
      <x:c r="G1135" s="498"/>
      <x:c r="H1135" s="498"/>
      <x:c r="I1135" s="498"/>
      <x:c r="J1135" s="498"/>
      <x:c r="K1135" s="498"/>
      <x:c r="L1135" s="498"/>
      <x:c r="M1135" s="498"/>
    </x:row>
    <x:row r="1136" ht="18" customHeight="1">
      <x:c r="A1136" s="498"/>
      <x:c r="B1136" s="498"/>
      <x:c r="C1136" s="498"/>
      <x:c r="D1136" s="498"/>
      <x:c r="E1136" s="498"/>
      <x:c r="F1136" s="498"/>
      <x:c r="G1136" s="498"/>
      <x:c r="H1136" s="498"/>
      <x:c r="I1136" s="498"/>
      <x:c r="J1136" s="498"/>
      <x:c r="K1136" s="498"/>
      <x:c r="L1136" s="498"/>
      <x:c r="M1136" s="498"/>
    </x:row>
    <x:row r="1137" ht="18" customHeight="1">
      <x:c r="A1137" s="498"/>
      <x:c r="B1137" s="498"/>
      <x:c r="C1137" s="498"/>
      <x:c r="D1137" s="498"/>
      <x:c r="E1137" s="498"/>
      <x:c r="F1137" s="498"/>
      <x:c r="G1137" s="498"/>
      <x:c r="H1137" s="498"/>
      <x:c r="I1137" s="498"/>
      <x:c r="J1137" s="498"/>
      <x:c r="K1137" s="498"/>
      <x:c r="L1137" s="498"/>
      <x:c r="M1137" s="498"/>
    </x:row>
    <x:row r="1138" ht="18" customHeight="1">
      <x:c r="A1138" s="498"/>
      <x:c r="B1138" s="498"/>
      <x:c r="C1138" s="498"/>
      <x:c r="D1138" s="498"/>
      <x:c r="E1138" s="498"/>
      <x:c r="F1138" s="498"/>
      <x:c r="G1138" s="498"/>
      <x:c r="H1138" s="498"/>
      <x:c r="I1138" s="498"/>
      <x:c r="J1138" s="498"/>
      <x:c r="K1138" s="498"/>
      <x:c r="L1138" s="498"/>
      <x:c r="M1138" s="498"/>
    </x:row>
    <x:row r="1139" ht="18" customHeight="1">
      <x:c r="A1139" s="498"/>
      <x:c r="B1139" s="498"/>
      <x:c r="C1139" s="498"/>
      <x:c r="D1139" s="498"/>
      <x:c r="E1139" s="498"/>
      <x:c r="F1139" s="498"/>
      <x:c r="G1139" s="498"/>
      <x:c r="H1139" s="498"/>
      <x:c r="I1139" s="498"/>
      <x:c r="J1139" s="498"/>
      <x:c r="K1139" s="498"/>
      <x:c r="L1139" s="498"/>
      <x:c r="M1139" s="498"/>
    </x:row>
    <x:row r="1140" ht="18" customHeight="1">
      <x:c r="A1140" s="498"/>
      <x:c r="B1140" s="498"/>
      <x:c r="C1140" s="498"/>
      <x:c r="D1140" s="498"/>
      <x:c r="E1140" s="498"/>
      <x:c r="F1140" s="498"/>
      <x:c r="G1140" s="498"/>
      <x:c r="H1140" s="498"/>
      <x:c r="I1140" s="498"/>
      <x:c r="J1140" s="498"/>
      <x:c r="K1140" s="498"/>
      <x:c r="L1140" s="498"/>
      <x:c r="M1140" s="498"/>
    </x:row>
    <x:row r="1141" ht="18" customHeight="1">
      <x:c r="A1141" s="498"/>
      <x:c r="B1141" s="498"/>
      <x:c r="C1141" s="498"/>
      <x:c r="D1141" s="498"/>
      <x:c r="E1141" s="498"/>
      <x:c r="F1141" s="498"/>
      <x:c r="G1141" s="498"/>
      <x:c r="H1141" s="498"/>
      <x:c r="I1141" s="498"/>
      <x:c r="J1141" s="498"/>
      <x:c r="K1141" s="498"/>
      <x:c r="L1141" s="498"/>
      <x:c r="M1141" s="498"/>
    </x:row>
    <x:row r="1142" ht="18" customHeight="1">
      <x:c r="A1142" s="498"/>
      <x:c r="B1142" s="498"/>
      <x:c r="C1142" s="498"/>
      <x:c r="D1142" s="498"/>
      <x:c r="E1142" s="498"/>
      <x:c r="F1142" s="498"/>
      <x:c r="G1142" s="498"/>
      <x:c r="H1142" s="498"/>
      <x:c r="I1142" s="498"/>
      <x:c r="J1142" s="498"/>
      <x:c r="K1142" s="498"/>
      <x:c r="L1142" s="498"/>
      <x:c r="M1142" s="498"/>
    </x:row>
    <x:row r="1143" ht="18" customHeight="1">
      <x:c r="A1143" s="498"/>
      <x:c r="B1143" s="498"/>
      <x:c r="C1143" s="498"/>
      <x:c r="D1143" s="498"/>
      <x:c r="E1143" s="498"/>
      <x:c r="F1143" s="498"/>
      <x:c r="G1143" s="498"/>
      <x:c r="H1143" s="498"/>
      <x:c r="I1143" s="498"/>
      <x:c r="J1143" s="498"/>
      <x:c r="K1143" s="498"/>
      <x:c r="L1143" s="498"/>
      <x:c r="M1143" s="498"/>
    </x:row>
    <x:row r="1144" ht="18" customHeight="1">
      <x:c r="A1144" s="498"/>
      <x:c r="B1144" s="498"/>
      <x:c r="C1144" s="498"/>
      <x:c r="D1144" s="498"/>
      <x:c r="E1144" s="498"/>
      <x:c r="F1144" s="498"/>
      <x:c r="G1144" s="498"/>
      <x:c r="H1144" s="498"/>
      <x:c r="I1144" s="498"/>
      <x:c r="J1144" s="498"/>
      <x:c r="K1144" s="498"/>
      <x:c r="L1144" s="498"/>
      <x:c r="M1144" s="498"/>
    </x:row>
    <x:row r="1145" ht="18" customHeight="1">
      <x:c r="A1145" s="498"/>
      <x:c r="B1145" s="498"/>
      <x:c r="C1145" s="498"/>
      <x:c r="D1145" s="498"/>
      <x:c r="E1145" s="498"/>
      <x:c r="F1145" s="498"/>
      <x:c r="G1145" s="498"/>
      <x:c r="H1145" s="498"/>
      <x:c r="I1145" s="498"/>
      <x:c r="J1145" s="498"/>
      <x:c r="K1145" s="498"/>
      <x:c r="L1145" s="498"/>
      <x:c r="M1145" s="498"/>
    </x:row>
    <x:row r="1146" ht="18" customHeight="1">
      <x:c r="A1146" s="498"/>
      <x:c r="B1146" s="498"/>
      <x:c r="C1146" s="498"/>
      <x:c r="D1146" s="498"/>
      <x:c r="E1146" s="498"/>
      <x:c r="F1146" s="498"/>
      <x:c r="G1146" s="498"/>
      <x:c r="H1146" s="498"/>
      <x:c r="I1146" s="498"/>
      <x:c r="J1146" s="498"/>
      <x:c r="K1146" s="498"/>
      <x:c r="L1146" s="498"/>
      <x:c r="M1146" s="498"/>
    </x:row>
    <x:row r="1147" ht="18" customHeight="1">
      <x:c r="A1147" s="498"/>
      <x:c r="B1147" s="498"/>
      <x:c r="C1147" s="498"/>
      <x:c r="D1147" s="498"/>
      <x:c r="E1147" s="498"/>
      <x:c r="F1147" s="498"/>
      <x:c r="G1147" s="498"/>
      <x:c r="H1147" s="498"/>
      <x:c r="I1147" s="498"/>
      <x:c r="J1147" s="498"/>
      <x:c r="K1147" s="498"/>
      <x:c r="L1147" s="498"/>
      <x:c r="M1147" s="498"/>
    </x:row>
    <x:row r="1148" ht="18" customHeight="1">
      <x:c r="A1148" s="498"/>
      <x:c r="B1148" s="498"/>
      <x:c r="C1148" s="498"/>
      <x:c r="D1148" s="498"/>
      <x:c r="E1148" s="498"/>
      <x:c r="F1148" s="498"/>
      <x:c r="G1148" s="498"/>
      <x:c r="H1148" s="498"/>
      <x:c r="I1148" s="498"/>
      <x:c r="J1148" s="498"/>
      <x:c r="K1148" s="498"/>
      <x:c r="L1148" s="498"/>
      <x:c r="M1148" s="498"/>
    </x:row>
    <x:row r="1149" ht="18" customHeight="1">
      <x:c r="A1149" s="498"/>
      <x:c r="B1149" s="498"/>
      <x:c r="C1149" s="498"/>
      <x:c r="D1149" s="498"/>
      <x:c r="E1149" s="498"/>
      <x:c r="F1149" s="498"/>
      <x:c r="G1149" s="498"/>
      <x:c r="H1149" s="498"/>
      <x:c r="I1149" s="498"/>
      <x:c r="J1149" s="498"/>
      <x:c r="K1149" s="498"/>
      <x:c r="L1149" s="498"/>
      <x:c r="M1149" s="498"/>
    </x:row>
    <x:row r="1150" ht="18" customHeight="1">
      <x:c r="A1150" s="498"/>
      <x:c r="B1150" s="498"/>
      <x:c r="C1150" s="498"/>
      <x:c r="D1150" s="498"/>
      <x:c r="E1150" s="498"/>
      <x:c r="F1150" s="498"/>
      <x:c r="G1150" s="498"/>
      <x:c r="H1150" s="498"/>
      <x:c r="I1150" s="498"/>
      <x:c r="J1150" s="498"/>
      <x:c r="K1150" s="498"/>
      <x:c r="L1150" s="498"/>
      <x:c r="M1150" s="498"/>
    </x:row>
    <x:row r="1151" ht="18" customHeight="1">
      <x:c r="A1151" s="498"/>
      <x:c r="B1151" s="498"/>
      <x:c r="C1151" s="498"/>
      <x:c r="D1151" s="498"/>
      <x:c r="E1151" s="498"/>
      <x:c r="F1151" s="498"/>
      <x:c r="G1151" s="498"/>
      <x:c r="H1151" s="498"/>
      <x:c r="I1151" s="498"/>
      <x:c r="J1151" s="498"/>
      <x:c r="K1151" s="498"/>
      <x:c r="L1151" s="498"/>
      <x:c r="M1151" s="498"/>
    </x:row>
    <x:row r="1152" ht="18" customHeight="1">
      <x:c r="A1152" s="498"/>
      <x:c r="B1152" s="498"/>
      <x:c r="C1152" s="498"/>
      <x:c r="D1152" s="498"/>
      <x:c r="E1152" s="498"/>
      <x:c r="F1152" s="498"/>
      <x:c r="G1152" s="498"/>
      <x:c r="H1152" s="498"/>
      <x:c r="I1152" s="498"/>
      <x:c r="J1152" s="498"/>
      <x:c r="K1152" s="498"/>
      <x:c r="L1152" s="498"/>
      <x:c r="M1152" s="498"/>
    </x:row>
    <x:row r="1153" ht="18" customHeight="1">
      <x:c r="A1153" s="498"/>
      <x:c r="B1153" s="498"/>
      <x:c r="C1153" s="498"/>
      <x:c r="D1153" s="498"/>
      <x:c r="E1153" s="498"/>
      <x:c r="F1153" s="498"/>
      <x:c r="G1153" s="498"/>
      <x:c r="H1153" s="498"/>
      <x:c r="I1153" s="498"/>
      <x:c r="J1153" s="498"/>
      <x:c r="K1153" s="498"/>
      <x:c r="L1153" s="498"/>
      <x:c r="M1153" s="498"/>
    </x:row>
    <x:row r="1154" ht="18" customHeight="1">
      <x:c r="A1154" s="498"/>
      <x:c r="B1154" s="498"/>
      <x:c r="C1154" s="498"/>
      <x:c r="D1154" s="498"/>
      <x:c r="E1154" s="498"/>
      <x:c r="F1154" s="498"/>
      <x:c r="G1154" s="498"/>
      <x:c r="H1154" s="498"/>
      <x:c r="I1154" s="498"/>
      <x:c r="J1154" s="498"/>
      <x:c r="K1154" s="498"/>
      <x:c r="L1154" s="498"/>
      <x:c r="M1154" s="498"/>
    </x:row>
    <x:row r="1155" ht="18" customHeight="1">
      <x:c r="A1155" s="498"/>
      <x:c r="B1155" s="498"/>
      <x:c r="C1155" s="498"/>
      <x:c r="D1155" s="498"/>
      <x:c r="E1155" s="498"/>
      <x:c r="F1155" s="498"/>
      <x:c r="G1155" s="498"/>
      <x:c r="H1155" s="498"/>
      <x:c r="I1155" s="498"/>
      <x:c r="J1155" s="498"/>
      <x:c r="K1155" s="498"/>
      <x:c r="L1155" s="498"/>
      <x:c r="M1155" s="498"/>
    </x:row>
    <x:row r="1156" ht="18" customHeight="1">
      <x:c r="A1156" s="498"/>
      <x:c r="B1156" s="498"/>
      <x:c r="C1156" s="498"/>
      <x:c r="D1156" s="498"/>
      <x:c r="E1156" s="498"/>
      <x:c r="F1156" s="498"/>
      <x:c r="G1156" s="498"/>
      <x:c r="H1156" s="498"/>
      <x:c r="I1156" s="498"/>
      <x:c r="J1156" s="498"/>
      <x:c r="K1156" s="498"/>
      <x:c r="L1156" s="498"/>
      <x:c r="M1156" s="498"/>
    </x:row>
    <x:row r="1157" ht="18" customHeight="1">
      <x:c r="A1157" s="498"/>
      <x:c r="B1157" s="498"/>
      <x:c r="C1157" s="498"/>
      <x:c r="D1157" s="498"/>
      <x:c r="E1157" s="498"/>
      <x:c r="F1157" s="498"/>
      <x:c r="G1157" s="498"/>
      <x:c r="H1157" s="498"/>
      <x:c r="I1157" s="498"/>
      <x:c r="J1157" s="498"/>
      <x:c r="K1157" s="498"/>
      <x:c r="L1157" s="498"/>
      <x:c r="M1157" s="498"/>
    </x:row>
    <x:row r="1158" ht="18" customHeight="1">
      <x:c r="A1158" s="498"/>
      <x:c r="B1158" s="498"/>
      <x:c r="C1158" s="498"/>
      <x:c r="D1158" s="498"/>
      <x:c r="E1158" s="498"/>
      <x:c r="F1158" s="498"/>
      <x:c r="G1158" s="498"/>
      <x:c r="H1158" s="498"/>
      <x:c r="I1158" s="498"/>
      <x:c r="J1158" s="498"/>
      <x:c r="K1158" s="498"/>
      <x:c r="L1158" s="498"/>
      <x:c r="M1158" s="498"/>
    </x:row>
    <x:row r="1159" ht="18" customHeight="1">
      <x:c r="A1159" s="498"/>
      <x:c r="B1159" s="498"/>
      <x:c r="C1159" s="498"/>
      <x:c r="D1159" s="498"/>
      <x:c r="E1159" s="498"/>
      <x:c r="F1159" s="498"/>
      <x:c r="G1159" s="498"/>
      <x:c r="H1159" s="498"/>
      <x:c r="I1159" s="498"/>
      <x:c r="J1159" s="498"/>
      <x:c r="K1159" s="498"/>
      <x:c r="L1159" s="498"/>
      <x:c r="M1159" s="498"/>
    </x:row>
    <x:row r="1160" ht="18" customHeight="1">
      <x:c r="A1160" s="498"/>
      <x:c r="B1160" s="498"/>
      <x:c r="C1160" s="498"/>
      <x:c r="D1160" s="498"/>
      <x:c r="E1160" s="498"/>
      <x:c r="F1160" s="498"/>
      <x:c r="G1160" s="498"/>
      <x:c r="H1160" s="498"/>
      <x:c r="I1160" s="498"/>
      <x:c r="J1160" s="498"/>
      <x:c r="K1160" s="498"/>
      <x:c r="L1160" s="498"/>
      <x:c r="M1160" s="498"/>
    </x:row>
    <x:row r="1161" ht="18" customHeight="1">
      <x:c r="A1161" s="498"/>
      <x:c r="B1161" s="498"/>
      <x:c r="C1161" s="498"/>
      <x:c r="D1161" s="498"/>
      <x:c r="E1161" s="498"/>
      <x:c r="F1161" s="498"/>
      <x:c r="G1161" s="498"/>
      <x:c r="H1161" s="498"/>
      <x:c r="I1161" s="498"/>
      <x:c r="J1161" s="498"/>
      <x:c r="K1161" s="498"/>
      <x:c r="L1161" s="498"/>
      <x:c r="M1161" s="498"/>
    </x:row>
    <x:row r="1162" ht="18" customHeight="1">
      <x:c r="A1162" s="498"/>
      <x:c r="B1162" s="498"/>
      <x:c r="C1162" s="498"/>
      <x:c r="D1162" s="498"/>
      <x:c r="E1162" s="498"/>
      <x:c r="F1162" s="498"/>
      <x:c r="G1162" s="498"/>
      <x:c r="H1162" s="498"/>
      <x:c r="I1162" s="498"/>
      <x:c r="J1162" s="498"/>
      <x:c r="K1162" s="498"/>
      <x:c r="L1162" s="498"/>
      <x:c r="M1162" s="498"/>
    </x:row>
    <x:row r="1163" ht="18" customHeight="1">
      <x:c r="A1163" s="498"/>
      <x:c r="B1163" s="498"/>
      <x:c r="C1163" s="498"/>
      <x:c r="D1163" s="498"/>
      <x:c r="E1163" s="498"/>
      <x:c r="F1163" s="498"/>
      <x:c r="G1163" s="498"/>
      <x:c r="H1163" s="498"/>
      <x:c r="I1163" s="498"/>
      <x:c r="J1163" s="498"/>
      <x:c r="K1163" s="498"/>
      <x:c r="L1163" s="498"/>
      <x:c r="M1163" s="498"/>
    </x:row>
    <x:row r="1164" ht="18" customHeight="1">
      <x:c r="A1164" s="498"/>
      <x:c r="B1164" s="498"/>
      <x:c r="C1164" s="498"/>
      <x:c r="D1164" s="498"/>
      <x:c r="E1164" s="498"/>
      <x:c r="F1164" s="498"/>
      <x:c r="G1164" s="498"/>
      <x:c r="H1164" s="498"/>
      <x:c r="I1164" s="498"/>
      <x:c r="J1164" s="498"/>
      <x:c r="K1164" s="498"/>
      <x:c r="L1164" s="498"/>
      <x:c r="M1164" s="498"/>
    </x:row>
    <x:row r="1165" ht="18" customHeight="1">
      <x:c r="A1165" s="498"/>
      <x:c r="B1165" s="498"/>
      <x:c r="C1165" s="498"/>
      <x:c r="D1165" s="498"/>
      <x:c r="E1165" s="498"/>
      <x:c r="F1165" s="498"/>
      <x:c r="G1165" s="498"/>
      <x:c r="H1165" s="498"/>
      <x:c r="I1165" s="498"/>
      <x:c r="J1165" s="498"/>
      <x:c r="K1165" s="498"/>
      <x:c r="L1165" s="498"/>
      <x:c r="M1165" s="498"/>
    </x:row>
    <x:row r="1166" ht="18" customHeight="1">
      <x:c r="A1166" s="498"/>
      <x:c r="B1166" s="498"/>
      <x:c r="C1166" s="498"/>
      <x:c r="D1166" s="498"/>
      <x:c r="E1166" s="498"/>
      <x:c r="F1166" s="498"/>
      <x:c r="G1166" s="498"/>
      <x:c r="H1166" s="498"/>
      <x:c r="I1166" s="498"/>
      <x:c r="J1166" s="498"/>
      <x:c r="K1166" s="498"/>
      <x:c r="L1166" s="498"/>
      <x:c r="M1166" s="498"/>
    </x:row>
    <x:row r="1167" ht="18" customHeight="1">
      <x:c r="A1167" s="498"/>
      <x:c r="B1167" s="498"/>
      <x:c r="C1167" s="498"/>
      <x:c r="D1167" s="498"/>
      <x:c r="E1167" s="498"/>
      <x:c r="F1167" s="498"/>
      <x:c r="G1167" s="498"/>
      <x:c r="H1167" s="498"/>
      <x:c r="I1167" s="498"/>
      <x:c r="J1167" s="498"/>
      <x:c r="K1167" s="498"/>
      <x:c r="L1167" s="498"/>
      <x:c r="M1167" s="498"/>
    </x:row>
    <x:row r="1168" ht="18" customHeight="1">
      <x:c r="A1168" s="498"/>
      <x:c r="B1168" s="498"/>
      <x:c r="C1168" s="498"/>
      <x:c r="D1168" s="498"/>
      <x:c r="E1168" s="498"/>
      <x:c r="F1168" s="498"/>
      <x:c r="G1168" s="498"/>
      <x:c r="H1168" s="498"/>
      <x:c r="I1168" s="498"/>
      <x:c r="J1168" s="498"/>
      <x:c r="K1168" s="498"/>
      <x:c r="L1168" s="498"/>
      <x:c r="M1168" s="498"/>
    </x:row>
    <x:row r="1169" ht="18" customHeight="1">
      <x:c r="A1169" s="498"/>
      <x:c r="B1169" s="498"/>
      <x:c r="C1169" s="498"/>
      <x:c r="D1169" s="498"/>
      <x:c r="E1169" s="498"/>
      <x:c r="F1169" s="498"/>
      <x:c r="G1169" s="498"/>
      <x:c r="H1169" s="498"/>
      <x:c r="I1169" s="498"/>
      <x:c r="J1169" s="498"/>
      <x:c r="K1169" s="498"/>
      <x:c r="L1169" s="498"/>
      <x:c r="M1169" s="498"/>
    </x:row>
    <x:row r="1170" ht="18" customHeight="1">
      <x:c r="A1170" s="498"/>
      <x:c r="B1170" s="498"/>
      <x:c r="C1170" s="498"/>
      <x:c r="D1170" s="498"/>
      <x:c r="E1170" s="498"/>
      <x:c r="F1170" s="498"/>
      <x:c r="G1170" s="498"/>
      <x:c r="H1170" s="498"/>
      <x:c r="I1170" s="498"/>
      <x:c r="J1170" s="498"/>
      <x:c r="K1170" s="498"/>
      <x:c r="L1170" s="498"/>
      <x:c r="M1170" s="498"/>
    </x:row>
    <x:row r="1171" ht="18" customHeight="1">
      <x:c r="A1171" s="498"/>
      <x:c r="B1171" s="498"/>
      <x:c r="C1171" s="498"/>
      <x:c r="D1171" s="498"/>
      <x:c r="E1171" s="498"/>
      <x:c r="F1171" s="498"/>
      <x:c r="G1171" s="498"/>
      <x:c r="H1171" s="498"/>
      <x:c r="I1171" s="498"/>
      <x:c r="J1171" s="498"/>
      <x:c r="K1171" s="498"/>
      <x:c r="L1171" s="498"/>
      <x:c r="M1171" s="498"/>
    </x:row>
    <x:row r="1172" ht="18" customHeight="1">
      <x:c r="A1172" s="498"/>
      <x:c r="B1172" s="498"/>
      <x:c r="C1172" s="498"/>
      <x:c r="D1172" s="498"/>
      <x:c r="E1172" s="498"/>
      <x:c r="F1172" s="498"/>
      <x:c r="G1172" s="498"/>
      <x:c r="H1172" s="498"/>
      <x:c r="I1172" s="498"/>
      <x:c r="J1172" s="498"/>
      <x:c r="K1172" s="498"/>
      <x:c r="L1172" s="498"/>
      <x:c r="M1172" s="498"/>
    </x:row>
    <x:row r="1173" ht="18" customHeight="1">
      <x:c r="A1173" s="498"/>
      <x:c r="B1173" s="498"/>
      <x:c r="C1173" s="498"/>
      <x:c r="D1173" s="498"/>
      <x:c r="E1173" s="498"/>
      <x:c r="F1173" s="498"/>
      <x:c r="G1173" s="498"/>
      <x:c r="H1173" s="498"/>
      <x:c r="I1173" s="498"/>
      <x:c r="J1173" s="498"/>
      <x:c r="K1173" s="498"/>
      <x:c r="L1173" s="498"/>
      <x:c r="M1173" s="498"/>
    </x:row>
    <x:row r="1174" ht="18" customHeight="1">
      <x:c r="A1174" s="498"/>
      <x:c r="B1174" s="498"/>
      <x:c r="C1174" s="498"/>
      <x:c r="D1174" s="498"/>
      <x:c r="E1174" s="498"/>
      <x:c r="F1174" s="498"/>
      <x:c r="G1174" s="498"/>
      <x:c r="H1174" s="498"/>
      <x:c r="I1174" s="498"/>
      <x:c r="J1174" s="498"/>
      <x:c r="K1174" s="498"/>
      <x:c r="L1174" s="498"/>
      <x:c r="M1174" s="498"/>
    </x:row>
    <x:row r="1175" ht="18" customHeight="1">
      <x:c r="A1175" s="498"/>
      <x:c r="B1175" s="498"/>
      <x:c r="C1175" s="498"/>
      <x:c r="D1175" s="498"/>
      <x:c r="E1175" s="498"/>
      <x:c r="F1175" s="498"/>
      <x:c r="G1175" s="498"/>
      <x:c r="H1175" s="498"/>
      <x:c r="I1175" s="498"/>
      <x:c r="J1175" s="498"/>
      <x:c r="K1175" s="498"/>
      <x:c r="L1175" s="498"/>
      <x:c r="M1175" s="498"/>
    </x:row>
    <x:row r="1176" ht="18" customHeight="1">
      <x:c r="A1176" s="498"/>
      <x:c r="B1176" s="498"/>
      <x:c r="C1176" s="498"/>
      <x:c r="D1176" s="498"/>
      <x:c r="E1176" s="498"/>
      <x:c r="F1176" s="498"/>
      <x:c r="G1176" s="498"/>
      <x:c r="H1176" s="498"/>
      <x:c r="I1176" s="498"/>
      <x:c r="J1176" s="498"/>
      <x:c r="K1176" s="498"/>
      <x:c r="L1176" s="498"/>
      <x:c r="M1176" s="498"/>
    </x:row>
    <x:row r="1177" ht="18" customHeight="1">
      <x:c r="A1177" s="498"/>
      <x:c r="B1177" s="498"/>
      <x:c r="C1177" s="498"/>
      <x:c r="D1177" s="498"/>
      <x:c r="E1177" s="498"/>
      <x:c r="F1177" s="498"/>
      <x:c r="G1177" s="498"/>
      <x:c r="H1177" s="498"/>
      <x:c r="I1177" s="498"/>
      <x:c r="J1177" s="498"/>
      <x:c r="K1177" s="498"/>
      <x:c r="L1177" s="498"/>
      <x:c r="M1177" s="498"/>
    </x:row>
    <x:row r="1178" ht="18" customHeight="1">
      <x:c r="A1178" s="498"/>
      <x:c r="B1178" s="498"/>
      <x:c r="C1178" s="498"/>
      <x:c r="D1178" s="498"/>
      <x:c r="E1178" s="498"/>
      <x:c r="F1178" s="498"/>
      <x:c r="G1178" s="498"/>
      <x:c r="H1178" s="498"/>
      <x:c r="I1178" s="498"/>
      <x:c r="J1178" s="498"/>
      <x:c r="K1178" s="498"/>
      <x:c r="L1178" s="498"/>
      <x:c r="M1178" s="498"/>
    </x:row>
    <x:row r="1179" ht="18" customHeight="1">
      <x:c r="A1179" s="498"/>
      <x:c r="B1179" s="498"/>
      <x:c r="C1179" s="498"/>
      <x:c r="D1179" s="498"/>
      <x:c r="E1179" s="498"/>
      <x:c r="F1179" s="498"/>
      <x:c r="G1179" s="498"/>
      <x:c r="H1179" s="498"/>
      <x:c r="I1179" s="498"/>
      <x:c r="J1179" s="498"/>
      <x:c r="K1179" s="498"/>
      <x:c r="L1179" s="498"/>
      <x:c r="M1179" s="498"/>
    </x:row>
    <x:row r="1180" ht="18" customHeight="1">
      <x:c r="A1180" s="498"/>
      <x:c r="B1180" s="498"/>
      <x:c r="C1180" s="498"/>
      <x:c r="D1180" s="498"/>
      <x:c r="E1180" s="498"/>
      <x:c r="F1180" s="498"/>
      <x:c r="G1180" s="498"/>
      <x:c r="H1180" s="498"/>
      <x:c r="I1180" s="498"/>
      <x:c r="J1180" s="498"/>
      <x:c r="K1180" s="498"/>
      <x:c r="L1180" s="498"/>
      <x:c r="M1180" s="498"/>
    </x:row>
    <x:row r="1181" ht="18" customHeight="1">
      <x:c r="A1181" s="498"/>
      <x:c r="B1181" s="498"/>
      <x:c r="C1181" s="498"/>
      <x:c r="D1181" s="498"/>
      <x:c r="E1181" s="498"/>
      <x:c r="F1181" s="498"/>
      <x:c r="G1181" s="498"/>
      <x:c r="H1181" s="498"/>
      <x:c r="I1181" s="498"/>
      <x:c r="J1181" s="498"/>
      <x:c r="K1181" s="498"/>
      <x:c r="L1181" s="498"/>
      <x:c r="M1181" s="498"/>
    </x:row>
    <x:row r="1182" ht="18" customHeight="1">
      <x:c r="A1182" s="498"/>
      <x:c r="B1182" s="498"/>
      <x:c r="C1182" s="498"/>
      <x:c r="D1182" s="498"/>
      <x:c r="E1182" s="498"/>
      <x:c r="F1182" s="498"/>
      <x:c r="G1182" s="498"/>
      <x:c r="H1182" s="498"/>
      <x:c r="I1182" s="498"/>
      <x:c r="J1182" s="498"/>
      <x:c r="K1182" s="498"/>
      <x:c r="L1182" s="498"/>
      <x:c r="M1182" s="498"/>
    </x:row>
    <x:row r="1183" ht="18" customHeight="1">
      <x:c r="A1183" s="498"/>
      <x:c r="B1183" s="498"/>
      <x:c r="C1183" s="498"/>
      <x:c r="D1183" s="498"/>
      <x:c r="E1183" s="498"/>
      <x:c r="F1183" s="498"/>
      <x:c r="G1183" s="498"/>
      <x:c r="H1183" s="498"/>
      <x:c r="I1183" s="498"/>
      <x:c r="J1183" s="498"/>
      <x:c r="K1183" s="498"/>
      <x:c r="L1183" s="498"/>
      <x:c r="M1183" s="498"/>
    </x:row>
    <x:row r="1184" ht="18" customHeight="1">
      <x:c r="A1184" s="498"/>
      <x:c r="B1184" s="498"/>
      <x:c r="C1184" s="498"/>
      <x:c r="D1184" s="498"/>
      <x:c r="E1184" s="498"/>
      <x:c r="F1184" s="498"/>
      <x:c r="G1184" s="498"/>
      <x:c r="H1184" s="498"/>
      <x:c r="I1184" s="498"/>
      <x:c r="J1184" s="498"/>
      <x:c r="K1184" s="498"/>
      <x:c r="L1184" s="498"/>
      <x:c r="M1184" s="498"/>
    </x:row>
    <x:row r="1185" ht="18" customHeight="1">
      <x:c r="A1185" s="498"/>
      <x:c r="B1185" s="498"/>
      <x:c r="C1185" s="498"/>
      <x:c r="D1185" s="498"/>
      <x:c r="E1185" s="498"/>
      <x:c r="F1185" s="498"/>
      <x:c r="G1185" s="498"/>
      <x:c r="H1185" s="498"/>
      <x:c r="I1185" s="498"/>
      <x:c r="J1185" s="498"/>
      <x:c r="K1185" s="498"/>
      <x:c r="L1185" s="498"/>
      <x:c r="M1185" s="498"/>
    </x:row>
    <x:row r="1186" ht="18" customHeight="1">
      <x:c r="A1186" s="498"/>
      <x:c r="B1186" s="498"/>
      <x:c r="C1186" s="498"/>
      <x:c r="D1186" s="498"/>
      <x:c r="E1186" s="498"/>
      <x:c r="F1186" s="498"/>
      <x:c r="G1186" s="498"/>
      <x:c r="H1186" s="498"/>
      <x:c r="I1186" s="498"/>
      <x:c r="J1186" s="498"/>
      <x:c r="K1186" s="498"/>
      <x:c r="L1186" s="498"/>
      <x:c r="M1186" s="498"/>
    </x:row>
    <x:row r="1187" ht="18" customHeight="1">
      <x:c r="A1187" s="498"/>
      <x:c r="B1187" s="498"/>
      <x:c r="C1187" s="498"/>
      <x:c r="D1187" s="498"/>
      <x:c r="E1187" s="498"/>
      <x:c r="F1187" s="498"/>
      <x:c r="G1187" s="498"/>
      <x:c r="H1187" s="498"/>
      <x:c r="I1187" s="498"/>
      <x:c r="J1187" s="498"/>
      <x:c r="K1187" s="498"/>
      <x:c r="L1187" s="498"/>
      <x:c r="M1187" s="498"/>
    </x:row>
    <x:row r="1188" ht="18" customHeight="1">
      <x:c r="A1188" s="498"/>
      <x:c r="B1188" s="498"/>
      <x:c r="C1188" s="498"/>
      <x:c r="D1188" s="498"/>
      <x:c r="E1188" s="498"/>
      <x:c r="F1188" s="498"/>
      <x:c r="G1188" s="498"/>
      <x:c r="H1188" s="498"/>
      <x:c r="I1188" s="498"/>
      <x:c r="J1188" s="498"/>
      <x:c r="K1188" s="498"/>
      <x:c r="L1188" s="498"/>
      <x:c r="M1188" s="498"/>
    </x:row>
    <x:row r="1189" ht="18" customHeight="1">
      <x:c r="A1189" s="498"/>
      <x:c r="B1189" s="498"/>
      <x:c r="C1189" s="498"/>
      <x:c r="D1189" s="498"/>
      <x:c r="E1189" s="498"/>
      <x:c r="F1189" s="498"/>
      <x:c r="G1189" s="498"/>
      <x:c r="H1189" s="498"/>
      <x:c r="I1189" s="498"/>
      <x:c r="J1189" s="498"/>
      <x:c r="K1189" s="498"/>
      <x:c r="L1189" s="498"/>
      <x:c r="M1189" s="498"/>
    </x:row>
    <x:row r="1190" ht="18" customHeight="1">
      <x:c r="A1190" s="498"/>
      <x:c r="B1190" s="498"/>
      <x:c r="C1190" s="498"/>
      <x:c r="D1190" s="498"/>
      <x:c r="E1190" s="498"/>
      <x:c r="F1190" s="498"/>
      <x:c r="G1190" s="498"/>
      <x:c r="H1190" s="498"/>
      <x:c r="I1190" s="498"/>
      <x:c r="J1190" s="498"/>
      <x:c r="K1190" s="498"/>
      <x:c r="L1190" s="498"/>
      <x:c r="M1190" s="498"/>
    </x:row>
    <x:row r="1191" ht="18" customHeight="1">
      <x:c r="A1191" s="498"/>
      <x:c r="B1191" s="498"/>
      <x:c r="C1191" s="498"/>
      <x:c r="D1191" s="498"/>
      <x:c r="E1191" s="498"/>
      <x:c r="F1191" s="498"/>
      <x:c r="G1191" s="498"/>
      <x:c r="H1191" s="498"/>
      <x:c r="I1191" s="498"/>
      <x:c r="J1191" s="498"/>
      <x:c r="K1191" s="498"/>
      <x:c r="L1191" s="498"/>
      <x:c r="M1191" s="498"/>
    </x:row>
    <x:row r="1192" ht="18" customHeight="1">
      <x:c r="A1192" s="498"/>
      <x:c r="B1192" s="498"/>
      <x:c r="C1192" s="498"/>
      <x:c r="D1192" s="498"/>
      <x:c r="E1192" s="498"/>
      <x:c r="F1192" s="498"/>
      <x:c r="G1192" s="498"/>
      <x:c r="H1192" s="498"/>
      <x:c r="I1192" s="498"/>
      <x:c r="J1192" s="498"/>
      <x:c r="K1192" s="498"/>
      <x:c r="L1192" s="498"/>
      <x:c r="M1192" s="498"/>
    </x:row>
    <x:row r="1193" ht="18" customHeight="1">
      <x:c r="A1193" s="498"/>
      <x:c r="B1193" s="498"/>
      <x:c r="C1193" s="498"/>
      <x:c r="D1193" s="498"/>
      <x:c r="E1193" s="498"/>
      <x:c r="F1193" s="498"/>
      <x:c r="G1193" s="498"/>
      <x:c r="H1193" s="498"/>
      <x:c r="I1193" s="498"/>
      <x:c r="J1193" s="498"/>
      <x:c r="K1193" s="498"/>
      <x:c r="L1193" s="498"/>
      <x:c r="M1193" s="498"/>
    </x:row>
    <x:row r="1194" ht="18" customHeight="1">
      <x:c r="A1194" s="498"/>
      <x:c r="B1194" s="498"/>
      <x:c r="C1194" s="498"/>
      <x:c r="D1194" s="498"/>
      <x:c r="E1194" s="498"/>
      <x:c r="F1194" s="498"/>
      <x:c r="G1194" s="498"/>
      <x:c r="H1194" s="498"/>
      <x:c r="I1194" s="498"/>
      <x:c r="J1194" s="498"/>
      <x:c r="K1194" s="498"/>
      <x:c r="L1194" s="498"/>
      <x:c r="M1194" s="498"/>
    </x:row>
    <x:row r="1195" ht="18" customHeight="1">
      <x:c r="A1195" s="498"/>
      <x:c r="B1195" s="498"/>
      <x:c r="C1195" s="498"/>
      <x:c r="D1195" s="498"/>
      <x:c r="E1195" s="498"/>
      <x:c r="F1195" s="498"/>
      <x:c r="G1195" s="498"/>
      <x:c r="H1195" s="498"/>
      <x:c r="I1195" s="498"/>
      <x:c r="J1195" s="498"/>
      <x:c r="K1195" s="498"/>
      <x:c r="L1195" s="498"/>
      <x:c r="M1195" s="498"/>
    </x:row>
    <x:row r="1196" ht="18" customHeight="1">
      <x:c r="A1196" s="498"/>
      <x:c r="B1196" s="498"/>
      <x:c r="C1196" s="498"/>
      <x:c r="D1196" s="498"/>
      <x:c r="E1196" s="498"/>
      <x:c r="F1196" s="498"/>
      <x:c r="G1196" s="498"/>
      <x:c r="H1196" s="498"/>
      <x:c r="I1196" s="498"/>
      <x:c r="J1196" s="498"/>
      <x:c r="K1196" s="498"/>
      <x:c r="L1196" s="498"/>
      <x:c r="M1196" s="498"/>
    </x:row>
    <x:row r="1197" ht="18" customHeight="1">
      <x:c r="A1197" s="498"/>
      <x:c r="B1197" s="498"/>
      <x:c r="C1197" s="498"/>
      <x:c r="D1197" s="498"/>
      <x:c r="E1197" s="498"/>
      <x:c r="F1197" s="498"/>
      <x:c r="G1197" s="498"/>
      <x:c r="H1197" s="498"/>
      <x:c r="I1197" s="498"/>
      <x:c r="J1197" s="498"/>
      <x:c r="K1197" s="498"/>
      <x:c r="L1197" s="498"/>
      <x:c r="M1197" s="498"/>
    </x:row>
    <x:row r="1198" ht="18" customHeight="1">
      <x:c r="A1198" s="498"/>
      <x:c r="B1198" s="498"/>
      <x:c r="C1198" s="498"/>
      <x:c r="D1198" s="498"/>
      <x:c r="E1198" s="498"/>
      <x:c r="F1198" s="498"/>
      <x:c r="G1198" s="498"/>
      <x:c r="H1198" s="498"/>
      <x:c r="I1198" s="498"/>
      <x:c r="J1198" s="498"/>
      <x:c r="K1198" s="498"/>
      <x:c r="L1198" s="498"/>
      <x:c r="M1198" s="498"/>
    </x:row>
    <x:row r="1199" ht="18" customHeight="1">
      <x:c r="A1199" s="498"/>
      <x:c r="B1199" s="498"/>
      <x:c r="C1199" s="498"/>
      <x:c r="D1199" s="498"/>
      <x:c r="E1199" s="498"/>
      <x:c r="F1199" s="498"/>
      <x:c r="G1199" s="498"/>
      <x:c r="H1199" s="498"/>
      <x:c r="I1199" s="498"/>
      <x:c r="J1199" s="498"/>
      <x:c r="K1199" s="498"/>
      <x:c r="L1199" s="498"/>
      <x:c r="M1199" s="498"/>
    </x:row>
    <x:row r="1200" ht="18" customHeight="1">
      <x:c r="A1200" s="498"/>
      <x:c r="B1200" s="498"/>
      <x:c r="C1200" s="498"/>
      <x:c r="D1200" s="498"/>
      <x:c r="E1200" s="498"/>
      <x:c r="F1200" s="498"/>
      <x:c r="G1200" s="498"/>
      <x:c r="H1200" s="498"/>
      <x:c r="I1200" s="498"/>
      <x:c r="J1200" s="498"/>
      <x:c r="K1200" s="498"/>
      <x:c r="L1200" s="498"/>
      <x:c r="M1200" s="498"/>
    </x:row>
    <x:row r="1201" ht="18" customHeight="1">
      <x:c r="A1201" s="498"/>
      <x:c r="B1201" s="498"/>
      <x:c r="C1201" s="498"/>
      <x:c r="D1201" s="498"/>
      <x:c r="E1201" s="498"/>
      <x:c r="F1201" s="498"/>
      <x:c r="G1201" s="498"/>
      <x:c r="H1201" s="498"/>
      <x:c r="I1201" s="498"/>
      <x:c r="J1201" s="498"/>
      <x:c r="K1201" s="498"/>
      <x:c r="L1201" s="498"/>
      <x:c r="M1201" s="498"/>
    </x:row>
    <x:row r="1202" ht="18" customHeight="1">
      <x:c r="A1202" s="498"/>
      <x:c r="B1202" s="498"/>
      <x:c r="C1202" s="498"/>
      <x:c r="D1202" s="498"/>
      <x:c r="E1202" s="498"/>
      <x:c r="F1202" s="498"/>
      <x:c r="G1202" s="498"/>
      <x:c r="H1202" s="498"/>
      <x:c r="I1202" s="498"/>
      <x:c r="J1202" s="498"/>
      <x:c r="K1202" s="498"/>
      <x:c r="L1202" s="498"/>
      <x:c r="M1202" s="498"/>
    </x:row>
    <x:row r="1203" ht="18" customHeight="1">
      <x:c r="A1203" s="498"/>
      <x:c r="B1203" s="498"/>
      <x:c r="C1203" s="498"/>
      <x:c r="D1203" s="498"/>
      <x:c r="E1203" s="498"/>
      <x:c r="F1203" s="498"/>
      <x:c r="G1203" s="498"/>
      <x:c r="H1203" s="498"/>
      <x:c r="I1203" s="498"/>
      <x:c r="J1203" s="498"/>
      <x:c r="K1203" s="498"/>
      <x:c r="L1203" s="498"/>
      <x:c r="M1203" s="498"/>
    </x:row>
    <x:row r="1204" ht="18" customHeight="1">
      <x:c r="A1204" s="498"/>
      <x:c r="B1204" s="498"/>
      <x:c r="C1204" s="498"/>
      <x:c r="D1204" s="498"/>
      <x:c r="E1204" s="498"/>
      <x:c r="F1204" s="498"/>
      <x:c r="G1204" s="498"/>
      <x:c r="H1204" s="498"/>
      <x:c r="I1204" s="498"/>
      <x:c r="J1204" s="498"/>
      <x:c r="K1204" s="498"/>
      <x:c r="L1204" s="498"/>
      <x:c r="M1204" s="498"/>
    </x:row>
    <x:row r="1205" ht="18" customHeight="1">
      <x:c r="A1205" s="498"/>
      <x:c r="B1205" s="498"/>
      <x:c r="C1205" s="498"/>
      <x:c r="D1205" s="498"/>
      <x:c r="E1205" s="498"/>
      <x:c r="F1205" s="498"/>
      <x:c r="G1205" s="498"/>
      <x:c r="H1205" s="498"/>
      <x:c r="I1205" s="498"/>
      <x:c r="J1205" s="498"/>
      <x:c r="K1205" s="498"/>
      <x:c r="L1205" s="498"/>
      <x:c r="M1205" s="498"/>
    </x:row>
    <x:row r="1206" ht="18" customHeight="1">
      <x:c r="A1206" s="498"/>
      <x:c r="B1206" s="498"/>
      <x:c r="C1206" s="498"/>
      <x:c r="D1206" s="498"/>
      <x:c r="E1206" s="498"/>
      <x:c r="F1206" s="498"/>
      <x:c r="G1206" s="498"/>
      <x:c r="H1206" s="498"/>
      <x:c r="I1206" s="498"/>
      <x:c r="J1206" s="498"/>
      <x:c r="K1206" s="498"/>
      <x:c r="L1206" s="498"/>
      <x:c r="M1206" s="498"/>
    </x:row>
    <x:row r="1207" ht="18" customHeight="1">
      <x:c r="A1207" s="498"/>
      <x:c r="B1207" s="498"/>
      <x:c r="C1207" s="498"/>
      <x:c r="D1207" s="498"/>
      <x:c r="E1207" s="498"/>
      <x:c r="F1207" s="498"/>
      <x:c r="G1207" s="498"/>
      <x:c r="H1207" s="498"/>
      <x:c r="I1207" s="498"/>
      <x:c r="J1207" s="498"/>
      <x:c r="K1207" s="498"/>
      <x:c r="L1207" s="498"/>
      <x:c r="M1207" s="498"/>
    </x:row>
    <x:row r="1208" ht="18" customHeight="1">
      <x:c r="A1208" s="498"/>
      <x:c r="B1208" s="498"/>
      <x:c r="C1208" s="498"/>
      <x:c r="D1208" s="498"/>
      <x:c r="E1208" s="498"/>
      <x:c r="F1208" s="498"/>
      <x:c r="G1208" s="498"/>
      <x:c r="H1208" s="498"/>
      <x:c r="I1208" s="498"/>
      <x:c r="J1208" s="498"/>
      <x:c r="K1208" s="498"/>
      <x:c r="L1208" s="498"/>
      <x:c r="M1208" s="498"/>
    </x:row>
    <x:row r="1209" ht="18" customHeight="1">
      <x:c r="A1209" s="498"/>
      <x:c r="B1209" s="498"/>
      <x:c r="C1209" s="498"/>
      <x:c r="D1209" s="498"/>
      <x:c r="E1209" s="498"/>
      <x:c r="F1209" s="498"/>
      <x:c r="G1209" s="498"/>
      <x:c r="H1209" s="498"/>
      <x:c r="I1209" s="498"/>
      <x:c r="J1209" s="498"/>
      <x:c r="K1209" s="498"/>
      <x:c r="L1209" s="498"/>
      <x:c r="M1209" s="498"/>
    </x:row>
    <x:row r="1210" ht="18" customHeight="1">
      <x:c r="A1210" s="498"/>
      <x:c r="B1210" s="498"/>
      <x:c r="C1210" s="498"/>
      <x:c r="D1210" s="498"/>
      <x:c r="E1210" s="498"/>
      <x:c r="F1210" s="498"/>
      <x:c r="G1210" s="498"/>
      <x:c r="H1210" s="498"/>
      <x:c r="I1210" s="498"/>
      <x:c r="J1210" s="498"/>
      <x:c r="K1210" s="498"/>
      <x:c r="L1210" s="498"/>
      <x:c r="M1210" s="498"/>
    </x:row>
    <x:row r="1211" ht="18" customHeight="1">
      <x:c r="A1211" s="498"/>
      <x:c r="B1211" s="498"/>
      <x:c r="C1211" s="498"/>
      <x:c r="D1211" s="498"/>
      <x:c r="E1211" s="498"/>
      <x:c r="F1211" s="498"/>
      <x:c r="G1211" s="498"/>
      <x:c r="H1211" s="498"/>
      <x:c r="I1211" s="498"/>
      <x:c r="J1211" s="498"/>
      <x:c r="K1211" s="498"/>
      <x:c r="L1211" s="498"/>
      <x:c r="M1211" s="498"/>
    </x:row>
    <x:row r="1212" ht="18" customHeight="1">
      <x:c r="A1212" s="498"/>
      <x:c r="B1212" s="498"/>
      <x:c r="C1212" s="498"/>
      <x:c r="D1212" s="498"/>
      <x:c r="E1212" s="498"/>
      <x:c r="F1212" s="498"/>
      <x:c r="G1212" s="498"/>
      <x:c r="H1212" s="498"/>
      <x:c r="I1212" s="498"/>
      <x:c r="J1212" s="498"/>
      <x:c r="K1212" s="498"/>
      <x:c r="L1212" s="498"/>
      <x:c r="M1212" s="498"/>
    </x:row>
    <x:row r="1213" ht="18" customHeight="1">
      <x:c r="A1213" s="498"/>
      <x:c r="B1213" s="498"/>
      <x:c r="C1213" s="498"/>
      <x:c r="D1213" s="498"/>
      <x:c r="E1213" s="498"/>
      <x:c r="F1213" s="498"/>
      <x:c r="G1213" s="498"/>
      <x:c r="H1213" s="498"/>
      <x:c r="I1213" s="498"/>
      <x:c r="J1213" s="498"/>
      <x:c r="K1213" s="498"/>
      <x:c r="L1213" s="498"/>
      <x:c r="M1213" s="498"/>
    </x:row>
    <x:row r="1214" ht="18" customHeight="1">
      <x:c r="A1214" s="498"/>
      <x:c r="B1214" s="498"/>
      <x:c r="C1214" s="498"/>
      <x:c r="D1214" s="498"/>
      <x:c r="E1214" s="498"/>
      <x:c r="F1214" s="498"/>
      <x:c r="G1214" s="498"/>
      <x:c r="H1214" s="498"/>
      <x:c r="I1214" s="498"/>
      <x:c r="J1214" s="498"/>
      <x:c r="K1214" s="498"/>
      <x:c r="L1214" s="498"/>
      <x:c r="M1214" s="498"/>
    </x:row>
    <x:row r="1215" ht="18" customHeight="1">
      <x:c r="A1215" s="498"/>
      <x:c r="B1215" s="498"/>
      <x:c r="C1215" s="498"/>
      <x:c r="D1215" s="498"/>
      <x:c r="E1215" s="498"/>
      <x:c r="F1215" s="498"/>
      <x:c r="G1215" s="498"/>
      <x:c r="H1215" s="498"/>
      <x:c r="I1215" s="498"/>
      <x:c r="J1215" s="498"/>
      <x:c r="K1215" s="498"/>
      <x:c r="L1215" s="498"/>
      <x:c r="M1215" s="498"/>
    </x:row>
    <x:row r="1216" ht="18" customHeight="1">
      <x:c r="A1216" s="498"/>
      <x:c r="B1216" s="498"/>
      <x:c r="C1216" s="498"/>
      <x:c r="D1216" s="498"/>
      <x:c r="E1216" s="498"/>
      <x:c r="F1216" s="498"/>
      <x:c r="G1216" s="498"/>
      <x:c r="H1216" s="498"/>
      <x:c r="I1216" s="498"/>
      <x:c r="J1216" s="498"/>
      <x:c r="K1216" s="498"/>
      <x:c r="L1216" s="498"/>
      <x:c r="M1216" s="498"/>
    </x:row>
    <x:row r="1217" ht="18" customHeight="1">
      <x:c r="A1217" s="498"/>
      <x:c r="B1217" s="498"/>
      <x:c r="C1217" s="498"/>
      <x:c r="D1217" s="498"/>
      <x:c r="E1217" s="498"/>
      <x:c r="F1217" s="498"/>
      <x:c r="G1217" s="498"/>
      <x:c r="H1217" s="498"/>
      <x:c r="I1217" s="498"/>
      <x:c r="J1217" s="498"/>
      <x:c r="K1217" s="498"/>
      <x:c r="L1217" s="498"/>
      <x:c r="M1217" s="498"/>
    </x:row>
    <x:row r="1218" ht="18" customHeight="1">
      <x:c r="A1218" s="498"/>
      <x:c r="B1218" s="498"/>
      <x:c r="C1218" s="498"/>
      <x:c r="D1218" s="498"/>
      <x:c r="E1218" s="498"/>
      <x:c r="F1218" s="498"/>
      <x:c r="G1218" s="498"/>
      <x:c r="H1218" s="498"/>
      <x:c r="I1218" s="498"/>
      <x:c r="J1218" s="498"/>
      <x:c r="K1218" s="498"/>
      <x:c r="L1218" s="498"/>
      <x:c r="M1218" s="498"/>
    </x:row>
    <x:row r="1219" ht="18" customHeight="1">
      <x:c r="A1219" s="498"/>
      <x:c r="B1219" s="498"/>
      <x:c r="C1219" s="498"/>
      <x:c r="D1219" s="498"/>
      <x:c r="E1219" s="498"/>
      <x:c r="F1219" s="498"/>
      <x:c r="G1219" s="498"/>
      <x:c r="H1219" s="498"/>
      <x:c r="I1219" s="498"/>
      <x:c r="J1219" s="498"/>
      <x:c r="K1219" s="498"/>
      <x:c r="L1219" s="498"/>
      <x:c r="M1219" s="498"/>
    </x:row>
    <x:row r="1220" ht="18" customHeight="1">
      <x:c r="A1220" s="498"/>
      <x:c r="B1220" s="498"/>
      <x:c r="C1220" s="498"/>
      <x:c r="D1220" s="498"/>
      <x:c r="E1220" s="498"/>
      <x:c r="F1220" s="498"/>
      <x:c r="G1220" s="498"/>
      <x:c r="H1220" s="498"/>
      <x:c r="I1220" s="498"/>
      <x:c r="J1220" s="498"/>
      <x:c r="K1220" s="498"/>
      <x:c r="L1220" s="498"/>
      <x:c r="M1220" s="498"/>
    </x:row>
    <x:row r="1221" ht="18" customHeight="1">
      <x:c r="A1221" s="498"/>
      <x:c r="B1221" s="498"/>
      <x:c r="C1221" s="498"/>
      <x:c r="D1221" s="498"/>
      <x:c r="E1221" s="498"/>
      <x:c r="F1221" s="498"/>
      <x:c r="G1221" s="498"/>
      <x:c r="H1221" s="498"/>
      <x:c r="I1221" s="498"/>
      <x:c r="J1221" s="498"/>
      <x:c r="K1221" s="498"/>
      <x:c r="L1221" s="498"/>
      <x:c r="M1221" s="498"/>
    </x:row>
    <x:row r="1222" ht="18" customHeight="1">
      <x:c r="A1222" s="498"/>
      <x:c r="B1222" s="498"/>
      <x:c r="C1222" s="498"/>
      <x:c r="D1222" s="498"/>
      <x:c r="E1222" s="498"/>
      <x:c r="F1222" s="498"/>
      <x:c r="G1222" s="498"/>
      <x:c r="H1222" s="498"/>
      <x:c r="I1222" s="498"/>
      <x:c r="J1222" s="498"/>
      <x:c r="K1222" s="498"/>
      <x:c r="L1222" s="498"/>
      <x:c r="M1222" s="498"/>
    </x:row>
    <x:row r="1223" ht="18" customHeight="1">
      <x:c r="A1223" s="498"/>
      <x:c r="B1223" s="498"/>
      <x:c r="C1223" s="498"/>
      <x:c r="D1223" s="498"/>
      <x:c r="E1223" s="498"/>
      <x:c r="F1223" s="498"/>
      <x:c r="G1223" s="498"/>
      <x:c r="H1223" s="498"/>
      <x:c r="I1223" s="498"/>
      <x:c r="J1223" s="498"/>
      <x:c r="K1223" s="498"/>
      <x:c r="L1223" s="498"/>
      <x:c r="M1223" s="498"/>
    </x:row>
    <x:row r="1224" ht="18" customHeight="1">
      <x:c r="A1224" s="498"/>
      <x:c r="B1224" s="498"/>
      <x:c r="C1224" s="498"/>
      <x:c r="D1224" s="498"/>
      <x:c r="E1224" s="498"/>
      <x:c r="F1224" s="498"/>
      <x:c r="G1224" s="498"/>
      <x:c r="H1224" s="498"/>
      <x:c r="I1224" s="498"/>
      <x:c r="J1224" s="498"/>
      <x:c r="K1224" s="498"/>
      <x:c r="L1224" s="498"/>
      <x:c r="M1224" s="498"/>
    </x:row>
    <x:row r="1225" ht="18" customHeight="1">
      <x:c r="A1225" s="498"/>
      <x:c r="B1225" s="498"/>
      <x:c r="C1225" s="498"/>
      <x:c r="D1225" s="498"/>
      <x:c r="E1225" s="498"/>
      <x:c r="F1225" s="498"/>
      <x:c r="G1225" s="498"/>
      <x:c r="H1225" s="498"/>
      <x:c r="I1225" s="498"/>
      <x:c r="J1225" s="498"/>
      <x:c r="K1225" s="498"/>
      <x:c r="L1225" s="498"/>
      <x:c r="M1225" s="498"/>
    </x:row>
    <x:row r="1226" ht="18" customHeight="1">
      <x:c r="A1226" s="498"/>
      <x:c r="B1226" s="498"/>
      <x:c r="C1226" s="498"/>
      <x:c r="D1226" s="498"/>
      <x:c r="E1226" s="498"/>
      <x:c r="F1226" s="498"/>
      <x:c r="G1226" s="498"/>
      <x:c r="H1226" s="498"/>
      <x:c r="I1226" s="498"/>
      <x:c r="J1226" s="498"/>
      <x:c r="K1226" s="498"/>
      <x:c r="L1226" s="498"/>
      <x:c r="M1226" s="498"/>
    </x:row>
    <x:row r="1227" ht="18" customHeight="1">
      <x:c r="A1227" s="498"/>
      <x:c r="B1227" s="498"/>
      <x:c r="C1227" s="498"/>
      <x:c r="D1227" s="498"/>
      <x:c r="E1227" s="498"/>
      <x:c r="F1227" s="498"/>
      <x:c r="G1227" s="498"/>
      <x:c r="H1227" s="498"/>
      <x:c r="I1227" s="498"/>
      <x:c r="J1227" s="498"/>
      <x:c r="K1227" s="498"/>
      <x:c r="L1227" s="498"/>
      <x:c r="M1227" s="498"/>
    </x:row>
    <x:row r="1228" ht="18" customHeight="1">
      <x:c r="A1228" s="498"/>
      <x:c r="B1228" s="498"/>
      <x:c r="C1228" s="498"/>
      <x:c r="D1228" s="498"/>
      <x:c r="E1228" s="498"/>
      <x:c r="F1228" s="498"/>
      <x:c r="G1228" s="498"/>
      <x:c r="H1228" s="498"/>
      <x:c r="I1228" s="498"/>
      <x:c r="J1228" s="498"/>
      <x:c r="K1228" s="498"/>
      <x:c r="L1228" s="498"/>
      <x:c r="M1228" s="498"/>
    </x:row>
    <x:row r="1229" ht="18" customHeight="1">
      <x:c r="A1229" s="498"/>
      <x:c r="B1229" s="498"/>
      <x:c r="C1229" s="498"/>
      <x:c r="D1229" s="498"/>
      <x:c r="E1229" s="498"/>
      <x:c r="F1229" s="498"/>
      <x:c r="G1229" s="498"/>
      <x:c r="H1229" s="498"/>
      <x:c r="I1229" s="498"/>
      <x:c r="J1229" s="498"/>
      <x:c r="K1229" s="498"/>
      <x:c r="L1229" s="498"/>
      <x:c r="M1229" s="498"/>
    </x:row>
    <x:row r="1230" ht="18" customHeight="1">
      <x:c r="A1230" s="498"/>
      <x:c r="B1230" s="498"/>
      <x:c r="C1230" s="498"/>
      <x:c r="D1230" s="498"/>
      <x:c r="E1230" s="498"/>
      <x:c r="F1230" s="498"/>
      <x:c r="G1230" s="498"/>
      <x:c r="H1230" s="498"/>
      <x:c r="I1230" s="498"/>
      <x:c r="J1230" s="498"/>
      <x:c r="K1230" s="498"/>
      <x:c r="L1230" s="498"/>
      <x:c r="M1230" s="498"/>
    </x:row>
    <x:row r="1231" ht="18" customHeight="1">
      <x:c r="A1231" s="498"/>
      <x:c r="B1231" s="498"/>
      <x:c r="C1231" s="498"/>
      <x:c r="D1231" s="498"/>
      <x:c r="E1231" s="498"/>
      <x:c r="F1231" s="498"/>
      <x:c r="G1231" s="498"/>
      <x:c r="H1231" s="498"/>
      <x:c r="I1231" s="498"/>
      <x:c r="J1231" s="498"/>
      <x:c r="K1231" s="498"/>
      <x:c r="L1231" s="498"/>
      <x:c r="M1231" s="498"/>
    </x:row>
    <x:row r="1232" ht="18" customHeight="1">
      <x:c r="A1232" s="498"/>
      <x:c r="B1232" s="498"/>
      <x:c r="C1232" s="498"/>
      <x:c r="D1232" s="498"/>
      <x:c r="E1232" s="498"/>
      <x:c r="F1232" s="498"/>
      <x:c r="G1232" s="498"/>
      <x:c r="H1232" s="498"/>
      <x:c r="I1232" s="498"/>
      <x:c r="J1232" s="498"/>
      <x:c r="K1232" s="498"/>
      <x:c r="L1232" s="498"/>
      <x:c r="M1232" s="498"/>
    </x:row>
    <x:row r="1233" ht="18" customHeight="1">
      <x:c r="A1233" s="498"/>
      <x:c r="B1233" s="498"/>
      <x:c r="C1233" s="498"/>
      <x:c r="D1233" s="498"/>
      <x:c r="E1233" s="498"/>
      <x:c r="F1233" s="498"/>
      <x:c r="G1233" s="498"/>
      <x:c r="H1233" s="498"/>
      <x:c r="I1233" s="498"/>
      <x:c r="J1233" s="498"/>
      <x:c r="K1233" s="498"/>
      <x:c r="L1233" s="498"/>
      <x:c r="M1233" s="498"/>
    </x:row>
    <x:row r="1234" ht="18" customHeight="1">
      <x:c r="A1234" s="498"/>
      <x:c r="B1234" s="498"/>
      <x:c r="C1234" s="498"/>
      <x:c r="D1234" s="498"/>
      <x:c r="E1234" s="498"/>
      <x:c r="F1234" s="498"/>
      <x:c r="G1234" s="498"/>
      <x:c r="H1234" s="498"/>
      <x:c r="I1234" s="498"/>
      <x:c r="J1234" s="498"/>
      <x:c r="K1234" s="498"/>
      <x:c r="L1234" s="498"/>
      <x:c r="M1234" s="498"/>
    </x:row>
    <x:row r="1235" ht="18" customHeight="1">
      <x:c r="A1235" s="498"/>
      <x:c r="B1235" s="498"/>
      <x:c r="C1235" s="498"/>
      <x:c r="D1235" s="498"/>
      <x:c r="E1235" s="498"/>
      <x:c r="F1235" s="498"/>
      <x:c r="G1235" s="498"/>
      <x:c r="H1235" s="498"/>
      <x:c r="I1235" s="498"/>
      <x:c r="J1235" s="498"/>
      <x:c r="K1235" s="498"/>
      <x:c r="L1235" s="498"/>
      <x:c r="M1235" s="498"/>
    </x:row>
    <x:row r="1236" ht="18" customHeight="1">
      <x:c r="A1236" s="498"/>
      <x:c r="B1236" s="498"/>
      <x:c r="C1236" s="498"/>
      <x:c r="D1236" s="498"/>
      <x:c r="E1236" s="498"/>
      <x:c r="F1236" s="498"/>
      <x:c r="G1236" s="498"/>
      <x:c r="H1236" s="498"/>
      <x:c r="I1236" s="498"/>
      <x:c r="J1236" s="498"/>
      <x:c r="K1236" s="498"/>
      <x:c r="L1236" s="498"/>
      <x:c r="M1236" s="498"/>
    </x:row>
    <x:row r="1237" ht="18" customHeight="1">
      <x:c r="A1237" s="498"/>
      <x:c r="B1237" s="498"/>
      <x:c r="C1237" s="498"/>
      <x:c r="D1237" s="498"/>
      <x:c r="E1237" s="498"/>
      <x:c r="F1237" s="498"/>
      <x:c r="G1237" s="498"/>
      <x:c r="H1237" s="498"/>
      <x:c r="I1237" s="498"/>
      <x:c r="J1237" s="498"/>
      <x:c r="K1237" s="498"/>
      <x:c r="L1237" s="498"/>
      <x:c r="M1237" s="498"/>
    </x:row>
    <x:row r="1238" ht="18" customHeight="1">
      <x:c r="A1238" s="498"/>
      <x:c r="B1238" s="498"/>
      <x:c r="C1238" s="498"/>
      <x:c r="D1238" s="498"/>
      <x:c r="E1238" s="498"/>
      <x:c r="F1238" s="498"/>
      <x:c r="G1238" s="498"/>
      <x:c r="H1238" s="498"/>
      <x:c r="I1238" s="498"/>
      <x:c r="J1238" s="498"/>
      <x:c r="K1238" s="498"/>
      <x:c r="L1238" s="498"/>
      <x:c r="M1238" s="498"/>
    </x:row>
    <x:row r="1239" ht="18" customHeight="1">
      <x:c r="A1239" s="498"/>
      <x:c r="B1239" s="498"/>
      <x:c r="C1239" s="498"/>
      <x:c r="D1239" s="498"/>
      <x:c r="E1239" s="498"/>
      <x:c r="F1239" s="498"/>
      <x:c r="G1239" s="498"/>
      <x:c r="H1239" s="498"/>
      <x:c r="I1239" s="498"/>
      <x:c r="J1239" s="498"/>
      <x:c r="K1239" s="498"/>
      <x:c r="L1239" s="498"/>
      <x:c r="M1239" s="498"/>
    </x:row>
    <x:row r="1240" ht="18" customHeight="1">
      <x:c r="A1240" s="498"/>
      <x:c r="B1240" s="498"/>
      <x:c r="C1240" s="498"/>
      <x:c r="D1240" s="498"/>
      <x:c r="E1240" s="498"/>
      <x:c r="F1240" s="498"/>
      <x:c r="G1240" s="498"/>
      <x:c r="H1240" s="498"/>
      <x:c r="I1240" s="498"/>
      <x:c r="J1240" s="498"/>
      <x:c r="K1240" s="498"/>
      <x:c r="L1240" s="498"/>
      <x:c r="M1240" s="498"/>
    </x:row>
    <x:row r="1241" ht="18" customHeight="1">
      <x:c r="A1241" s="498"/>
      <x:c r="B1241" s="498"/>
      <x:c r="C1241" s="498"/>
      <x:c r="D1241" s="498"/>
      <x:c r="E1241" s="498"/>
      <x:c r="F1241" s="498"/>
      <x:c r="G1241" s="498"/>
      <x:c r="H1241" s="498"/>
      <x:c r="I1241" s="498"/>
      <x:c r="J1241" s="498"/>
      <x:c r="K1241" s="498"/>
      <x:c r="L1241" s="498"/>
      <x:c r="M1241" s="498"/>
    </x:row>
    <x:row r="1242" ht="18" customHeight="1">
      <x:c r="A1242" s="498"/>
      <x:c r="B1242" s="498"/>
      <x:c r="C1242" s="498"/>
      <x:c r="D1242" s="498"/>
      <x:c r="E1242" s="498"/>
      <x:c r="F1242" s="498"/>
      <x:c r="G1242" s="498"/>
      <x:c r="H1242" s="498"/>
      <x:c r="I1242" s="498"/>
      <x:c r="J1242" s="498"/>
      <x:c r="K1242" s="498"/>
      <x:c r="L1242" s="498"/>
      <x:c r="M1242" s="498"/>
    </x:row>
    <x:row r="1243" ht="18" customHeight="1">
      <x:c r="A1243" s="498"/>
      <x:c r="B1243" s="498"/>
      <x:c r="C1243" s="498"/>
      <x:c r="D1243" s="498"/>
      <x:c r="E1243" s="498"/>
      <x:c r="F1243" s="498"/>
      <x:c r="G1243" s="498"/>
      <x:c r="H1243" s="498"/>
      <x:c r="I1243" s="498"/>
      <x:c r="J1243" s="498"/>
      <x:c r="K1243" s="498"/>
      <x:c r="L1243" s="498"/>
      <x:c r="M1243" s="498"/>
    </x:row>
    <x:row r="1244" ht="18" customHeight="1">
      <x:c r="A1244" s="498"/>
      <x:c r="B1244" s="498"/>
      <x:c r="C1244" s="498"/>
      <x:c r="D1244" s="498"/>
      <x:c r="E1244" s="498"/>
      <x:c r="F1244" s="498"/>
      <x:c r="G1244" s="498"/>
      <x:c r="H1244" s="498"/>
      <x:c r="I1244" s="498"/>
      <x:c r="J1244" s="498"/>
      <x:c r="K1244" s="498"/>
      <x:c r="L1244" s="498"/>
      <x:c r="M1244" s="498"/>
    </x:row>
    <x:row r="1245" ht="18" customHeight="1">
      <x:c r="A1245" s="498"/>
      <x:c r="B1245" s="498"/>
      <x:c r="C1245" s="498"/>
      <x:c r="D1245" s="498"/>
      <x:c r="E1245" s="498"/>
      <x:c r="F1245" s="498"/>
      <x:c r="G1245" s="498"/>
      <x:c r="H1245" s="498"/>
      <x:c r="I1245" s="498"/>
      <x:c r="J1245" s="498"/>
      <x:c r="K1245" s="498"/>
      <x:c r="L1245" s="498"/>
      <x:c r="M1245" s="498"/>
    </x:row>
    <x:row r="1246" ht="18" customHeight="1">
      <x:c r="A1246" s="498"/>
      <x:c r="B1246" s="498"/>
      <x:c r="C1246" s="498"/>
      <x:c r="D1246" s="498"/>
      <x:c r="E1246" s="498"/>
      <x:c r="F1246" s="498"/>
      <x:c r="G1246" s="498"/>
      <x:c r="H1246" s="498"/>
      <x:c r="I1246" s="498"/>
      <x:c r="J1246" s="498"/>
      <x:c r="K1246" s="498"/>
      <x:c r="L1246" s="498"/>
      <x:c r="M1246" s="498"/>
    </x:row>
    <x:row r="1247" ht="18" customHeight="1">
      <x:c r="A1247" s="498"/>
      <x:c r="B1247" s="498"/>
      <x:c r="C1247" s="498"/>
      <x:c r="D1247" s="498"/>
      <x:c r="E1247" s="498"/>
      <x:c r="F1247" s="498"/>
      <x:c r="G1247" s="498"/>
      <x:c r="H1247" s="498"/>
      <x:c r="I1247" s="498"/>
      <x:c r="J1247" s="498"/>
      <x:c r="K1247" s="498"/>
      <x:c r="L1247" s="498"/>
      <x:c r="M1247" s="498"/>
    </x:row>
    <x:row r="1248" ht="18" customHeight="1">
      <x:c r="A1248" s="498"/>
      <x:c r="B1248" s="498"/>
      <x:c r="C1248" s="498"/>
      <x:c r="D1248" s="498"/>
      <x:c r="E1248" s="498"/>
      <x:c r="F1248" s="498"/>
      <x:c r="G1248" s="498"/>
      <x:c r="H1248" s="498"/>
      <x:c r="I1248" s="498"/>
      <x:c r="J1248" s="498"/>
      <x:c r="K1248" s="498"/>
      <x:c r="L1248" s="498"/>
      <x:c r="M1248" s="498"/>
    </x:row>
    <x:row r="1249" ht="18" customHeight="1">
      <x:c r="A1249" s="498"/>
      <x:c r="B1249" s="498"/>
      <x:c r="C1249" s="498"/>
      <x:c r="D1249" s="498"/>
      <x:c r="E1249" s="498"/>
      <x:c r="F1249" s="498"/>
      <x:c r="G1249" s="498"/>
      <x:c r="H1249" s="498"/>
      <x:c r="I1249" s="498"/>
      <x:c r="J1249" s="498"/>
      <x:c r="K1249" s="498"/>
      <x:c r="L1249" s="498"/>
      <x:c r="M1249" s="498"/>
    </x:row>
    <x:row r="1250" ht="18" customHeight="1">
      <x:c r="A1250" s="498"/>
      <x:c r="B1250" s="498"/>
      <x:c r="C1250" s="498"/>
      <x:c r="D1250" s="498"/>
      <x:c r="E1250" s="498"/>
      <x:c r="F1250" s="498"/>
      <x:c r="G1250" s="498"/>
      <x:c r="H1250" s="498"/>
      <x:c r="I1250" s="498"/>
      <x:c r="J1250" s="498"/>
      <x:c r="K1250" s="498"/>
      <x:c r="L1250" s="498"/>
      <x:c r="M1250" s="498"/>
    </x:row>
    <x:row r="1251" ht="18" customHeight="1">
      <x:c r="A1251" s="498"/>
      <x:c r="B1251" s="498"/>
      <x:c r="C1251" s="498"/>
      <x:c r="D1251" s="498"/>
      <x:c r="E1251" s="498"/>
      <x:c r="F1251" s="498"/>
      <x:c r="G1251" s="498"/>
      <x:c r="H1251" s="498"/>
      <x:c r="I1251" s="498"/>
      <x:c r="J1251" s="498"/>
      <x:c r="K1251" s="498"/>
      <x:c r="L1251" s="498"/>
      <x:c r="M1251" s="498"/>
    </x:row>
    <x:row r="1252" ht="18" customHeight="1">
      <x:c r="A1252" s="498"/>
      <x:c r="B1252" s="498"/>
      <x:c r="C1252" s="498"/>
      <x:c r="D1252" s="498"/>
      <x:c r="E1252" s="498"/>
      <x:c r="F1252" s="498"/>
      <x:c r="G1252" s="498"/>
      <x:c r="H1252" s="498"/>
      <x:c r="I1252" s="498"/>
      <x:c r="J1252" s="498"/>
      <x:c r="K1252" s="498"/>
      <x:c r="L1252" s="498"/>
      <x:c r="M1252" s="498"/>
    </x:row>
    <x:row r="1253" ht="18" customHeight="1">
      <x:c r="A1253" s="498"/>
      <x:c r="B1253" s="498"/>
      <x:c r="C1253" s="498"/>
      <x:c r="D1253" s="498"/>
      <x:c r="E1253" s="498"/>
      <x:c r="F1253" s="498"/>
      <x:c r="G1253" s="498"/>
      <x:c r="H1253" s="498"/>
      <x:c r="I1253" s="498"/>
      <x:c r="J1253" s="498"/>
      <x:c r="K1253" s="498"/>
      <x:c r="L1253" s="498"/>
      <x:c r="M1253" s="498"/>
    </x:row>
    <x:row r="1254" ht="18" customHeight="1">
      <x:c r="A1254" s="498"/>
      <x:c r="B1254" s="498"/>
      <x:c r="C1254" s="498"/>
      <x:c r="D1254" s="498"/>
      <x:c r="E1254" s="498"/>
      <x:c r="F1254" s="498"/>
      <x:c r="G1254" s="498"/>
      <x:c r="H1254" s="498"/>
      <x:c r="I1254" s="498"/>
      <x:c r="J1254" s="498"/>
      <x:c r="K1254" s="498"/>
      <x:c r="L1254" s="498"/>
      <x:c r="M1254" s="498"/>
    </x:row>
    <x:row r="1255" ht="18" customHeight="1">
      <x:c r="A1255" s="498"/>
      <x:c r="B1255" s="498"/>
      <x:c r="C1255" s="498"/>
      <x:c r="D1255" s="498"/>
      <x:c r="E1255" s="498"/>
      <x:c r="F1255" s="498"/>
      <x:c r="G1255" s="498"/>
      <x:c r="H1255" s="498"/>
      <x:c r="I1255" s="498"/>
      <x:c r="J1255" s="498"/>
      <x:c r="K1255" s="498"/>
      <x:c r="L1255" s="498"/>
      <x:c r="M1255" s="498"/>
    </x:row>
    <x:row r="1256" ht="18" customHeight="1">
      <x:c r="A1256" s="498"/>
      <x:c r="B1256" s="498"/>
      <x:c r="C1256" s="498"/>
      <x:c r="D1256" s="498"/>
      <x:c r="E1256" s="498"/>
      <x:c r="F1256" s="498"/>
      <x:c r="G1256" s="498"/>
      <x:c r="H1256" s="498"/>
      <x:c r="I1256" s="498"/>
      <x:c r="J1256" s="498"/>
      <x:c r="K1256" s="498"/>
      <x:c r="L1256" s="498"/>
      <x:c r="M1256" s="498"/>
    </x:row>
    <x:row r="1257" ht="18" customHeight="1">
      <x:c r="A1257" s="498"/>
      <x:c r="B1257" s="498"/>
      <x:c r="C1257" s="498"/>
      <x:c r="D1257" s="498"/>
      <x:c r="E1257" s="498"/>
      <x:c r="F1257" s="498"/>
      <x:c r="G1257" s="498"/>
      <x:c r="H1257" s="498"/>
      <x:c r="I1257" s="498"/>
      <x:c r="J1257" s="498"/>
      <x:c r="K1257" s="498"/>
      <x:c r="L1257" s="498"/>
      <x:c r="M1257" s="498"/>
    </x:row>
    <x:row r="1258" ht="18" customHeight="1">
      <x:c r="A1258" s="498"/>
      <x:c r="B1258" s="498"/>
      <x:c r="C1258" s="498"/>
      <x:c r="D1258" s="498"/>
      <x:c r="E1258" s="498"/>
      <x:c r="F1258" s="498"/>
      <x:c r="G1258" s="498"/>
      <x:c r="H1258" s="498"/>
      <x:c r="I1258" s="498"/>
      <x:c r="J1258" s="498"/>
      <x:c r="K1258" s="498"/>
      <x:c r="L1258" s="498"/>
      <x:c r="M1258" s="498"/>
    </x:row>
    <x:row r="1259" ht="18" customHeight="1">
      <x:c r="A1259" s="498"/>
      <x:c r="B1259" s="498"/>
      <x:c r="C1259" s="498"/>
      <x:c r="D1259" s="498"/>
      <x:c r="E1259" s="498"/>
      <x:c r="F1259" s="498"/>
      <x:c r="G1259" s="498"/>
      <x:c r="H1259" s="498"/>
      <x:c r="I1259" s="498"/>
      <x:c r="J1259" s="498"/>
      <x:c r="K1259" s="498"/>
      <x:c r="L1259" s="498"/>
      <x:c r="M1259" s="498"/>
    </x:row>
    <x:row r="1260" ht="18" customHeight="1">
      <x:c r="A1260" s="498"/>
      <x:c r="B1260" s="498"/>
      <x:c r="C1260" s="498"/>
      <x:c r="D1260" s="498"/>
      <x:c r="E1260" s="498"/>
      <x:c r="F1260" s="498"/>
      <x:c r="G1260" s="498"/>
      <x:c r="H1260" s="498"/>
      <x:c r="I1260" s="498"/>
      <x:c r="J1260" s="498"/>
      <x:c r="K1260" s="498"/>
      <x:c r="L1260" s="498"/>
      <x:c r="M1260" s="498"/>
    </x:row>
    <x:row r="1261" ht="18" customHeight="1">
      <x:c r="A1261" s="498"/>
      <x:c r="B1261" s="498"/>
      <x:c r="C1261" s="498"/>
      <x:c r="D1261" s="498"/>
      <x:c r="E1261" s="498"/>
      <x:c r="F1261" s="498"/>
      <x:c r="G1261" s="498"/>
      <x:c r="H1261" s="498"/>
      <x:c r="I1261" s="498"/>
      <x:c r="J1261" s="498"/>
      <x:c r="K1261" s="498"/>
      <x:c r="L1261" s="498"/>
      <x:c r="M1261" s="498"/>
    </x:row>
    <x:row r="1262" ht="18" customHeight="1">
      <x:c r="A1262" s="498"/>
      <x:c r="B1262" s="498"/>
      <x:c r="C1262" s="498"/>
      <x:c r="D1262" s="498"/>
      <x:c r="E1262" s="498"/>
      <x:c r="F1262" s="498"/>
      <x:c r="G1262" s="498"/>
      <x:c r="H1262" s="498"/>
      <x:c r="I1262" s="498"/>
      <x:c r="J1262" s="498"/>
      <x:c r="K1262" s="498"/>
      <x:c r="L1262" s="498"/>
      <x:c r="M1262" s="498"/>
    </x:row>
    <x:row r="1263" ht="18" customHeight="1">
      <x:c r="A1263" s="498"/>
      <x:c r="B1263" s="498"/>
      <x:c r="C1263" s="498"/>
      <x:c r="D1263" s="498"/>
      <x:c r="E1263" s="498"/>
      <x:c r="F1263" s="498"/>
      <x:c r="G1263" s="498"/>
      <x:c r="H1263" s="498"/>
      <x:c r="I1263" s="498"/>
      <x:c r="J1263" s="498"/>
      <x:c r="K1263" s="498"/>
      <x:c r="L1263" s="498"/>
      <x:c r="M1263" s="498"/>
    </x:row>
    <x:row r="1264" ht="18" customHeight="1">
      <x:c r="A1264" s="498"/>
      <x:c r="B1264" s="498"/>
      <x:c r="C1264" s="498"/>
      <x:c r="D1264" s="498"/>
      <x:c r="E1264" s="498"/>
      <x:c r="F1264" s="498"/>
      <x:c r="G1264" s="498"/>
      <x:c r="H1264" s="498"/>
      <x:c r="I1264" s="498"/>
      <x:c r="J1264" s="498"/>
      <x:c r="K1264" s="498"/>
      <x:c r="L1264" s="498"/>
      <x:c r="M1264" s="498"/>
    </x:row>
    <x:row r="1265" ht="18" customHeight="1">
      <x:c r="A1265" s="498"/>
      <x:c r="B1265" s="498"/>
      <x:c r="C1265" s="498"/>
      <x:c r="D1265" s="498"/>
      <x:c r="E1265" s="498"/>
      <x:c r="F1265" s="498"/>
      <x:c r="G1265" s="498"/>
      <x:c r="H1265" s="498"/>
      <x:c r="I1265" s="498"/>
      <x:c r="J1265" s="498"/>
      <x:c r="K1265" s="498"/>
      <x:c r="L1265" s="498"/>
      <x:c r="M1265" s="498"/>
    </x:row>
    <x:row r="1266" ht="18" customHeight="1">
      <x:c r="A1266" s="498"/>
      <x:c r="B1266" s="498"/>
      <x:c r="C1266" s="498"/>
      <x:c r="D1266" s="498"/>
      <x:c r="E1266" s="498"/>
      <x:c r="F1266" s="498"/>
      <x:c r="G1266" s="498"/>
      <x:c r="H1266" s="498"/>
      <x:c r="I1266" s="498"/>
      <x:c r="J1266" s="498"/>
      <x:c r="K1266" s="498"/>
      <x:c r="L1266" s="498"/>
      <x:c r="M1266" s="498"/>
    </x:row>
    <x:row r="1267" ht="18" customHeight="1">
      <x:c r="A1267" s="498"/>
      <x:c r="B1267" s="498"/>
      <x:c r="C1267" s="498"/>
      <x:c r="D1267" s="498"/>
      <x:c r="E1267" s="498"/>
      <x:c r="F1267" s="498"/>
      <x:c r="G1267" s="498"/>
      <x:c r="H1267" s="498"/>
      <x:c r="I1267" s="498"/>
      <x:c r="J1267" s="498"/>
      <x:c r="K1267" s="498"/>
      <x:c r="L1267" s="498"/>
      <x:c r="M1267" s="498"/>
    </x:row>
    <x:row r="1268" ht="18" customHeight="1">
      <x:c r="A1268" s="498"/>
      <x:c r="B1268" s="498"/>
      <x:c r="C1268" s="498"/>
      <x:c r="D1268" s="498"/>
      <x:c r="E1268" s="498"/>
      <x:c r="F1268" s="498"/>
      <x:c r="G1268" s="498"/>
      <x:c r="H1268" s="498"/>
      <x:c r="I1268" s="498"/>
      <x:c r="J1268" s="498"/>
      <x:c r="K1268" s="498"/>
      <x:c r="L1268" s="498"/>
      <x:c r="M1268" s="498"/>
    </x:row>
    <x:row r="1269" ht="18" customHeight="1">
      <x:c r="A1269" s="498"/>
      <x:c r="B1269" s="498"/>
      <x:c r="C1269" s="498"/>
      <x:c r="D1269" s="498"/>
      <x:c r="E1269" s="498"/>
      <x:c r="F1269" s="498"/>
      <x:c r="G1269" s="498"/>
      <x:c r="H1269" s="498"/>
      <x:c r="I1269" s="498"/>
      <x:c r="J1269" s="498"/>
      <x:c r="K1269" s="498"/>
      <x:c r="L1269" s="498"/>
      <x:c r="M1269" s="498"/>
    </x:row>
    <x:row r="1270" ht="18" customHeight="1">
      <x:c r="A1270" s="498"/>
      <x:c r="B1270" s="498"/>
      <x:c r="C1270" s="498"/>
      <x:c r="D1270" s="498"/>
      <x:c r="E1270" s="498"/>
      <x:c r="F1270" s="498"/>
      <x:c r="G1270" s="498"/>
      <x:c r="H1270" s="498"/>
      <x:c r="I1270" s="498"/>
      <x:c r="J1270" s="498"/>
      <x:c r="K1270" s="498"/>
      <x:c r="L1270" s="498"/>
      <x:c r="M1270" s="498"/>
    </x:row>
    <x:row r="1271" ht="18" customHeight="1">
      <x:c r="A1271" s="498"/>
      <x:c r="B1271" s="498"/>
      <x:c r="C1271" s="498"/>
      <x:c r="D1271" s="498"/>
      <x:c r="E1271" s="498"/>
      <x:c r="F1271" s="498"/>
      <x:c r="G1271" s="498"/>
      <x:c r="H1271" s="498"/>
      <x:c r="I1271" s="498"/>
      <x:c r="J1271" s="498"/>
      <x:c r="K1271" s="498"/>
      <x:c r="L1271" s="498"/>
      <x:c r="M1271" s="498"/>
    </x:row>
    <x:row r="1272" ht="18" customHeight="1">
      <x:c r="A1272" s="498"/>
      <x:c r="B1272" s="498"/>
      <x:c r="C1272" s="498"/>
      <x:c r="D1272" s="498"/>
      <x:c r="E1272" s="498"/>
      <x:c r="F1272" s="498"/>
      <x:c r="G1272" s="498"/>
      <x:c r="H1272" s="498"/>
      <x:c r="I1272" s="498"/>
      <x:c r="J1272" s="498"/>
      <x:c r="K1272" s="498"/>
      <x:c r="L1272" s="498"/>
      <x:c r="M1272" s="498"/>
    </x:row>
    <x:row r="1273" ht="18" customHeight="1">
      <x:c r="A1273" s="498"/>
      <x:c r="B1273" s="498"/>
      <x:c r="C1273" s="498"/>
      <x:c r="D1273" s="498"/>
      <x:c r="E1273" s="498"/>
      <x:c r="F1273" s="498"/>
      <x:c r="G1273" s="498"/>
      <x:c r="H1273" s="498"/>
      <x:c r="I1273" s="498"/>
      <x:c r="J1273" s="498"/>
      <x:c r="K1273" s="498"/>
      <x:c r="L1273" s="498"/>
      <x:c r="M1273" s="498"/>
    </x:row>
    <x:row r="1274" ht="18" customHeight="1">
      <x:c r="A1274" s="498"/>
      <x:c r="B1274" s="498"/>
      <x:c r="C1274" s="498"/>
      <x:c r="D1274" s="498"/>
      <x:c r="E1274" s="498"/>
      <x:c r="F1274" s="498"/>
      <x:c r="G1274" s="498"/>
      <x:c r="H1274" s="498"/>
      <x:c r="I1274" s="498"/>
      <x:c r="J1274" s="498"/>
      <x:c r="K1274" s="498"/>
      <x:c r="L1274" s="498"/>
      <x:c r="M1274" s="498"/>
    </x:row>
    <x:row r="1275" ht="18" customHeight="1">
      <x:c r="A1275" s="498"/>
      <x:c r="B1275" s="498"/>
      <x:c r="C1275" s="498"/>
      <x:c r="D1275" s="498"/>
      <x:c r="E1275" s="498"/>
      <x:c r="F1275" s="498"/>
      <x:c r="G1275" s="498"/>
      <x:c r="H1275" s="498"/>
      <x:c r="I1275" s="498"/>
      <x:c r="J1275" s="498"/>
      <x:c r="K1275" s="498"/>
      <x:c r="L1275" s="498"/>
      <x:c r="M1275" s="498"/>
    </x:row>
    <x:row r="1276" ht="18" customHeight="1">
      <x:c r="A1276" s="498"/>
      <x:c r="B1276" s="498"/>
      <x:c r="C1276" s="498"/>
      <x:c r="D1276" s="498"/>
      <x:c r="E1276" s="498"/>
      <x:c r="F1276" s="498"/>
      <x:c r="G1276" s="498"/>
      <x:c r="H1276" s="498"/>
      <x:c r="I1276" s="498"/>
      <x:c r="J1276" s="498"/>
      <x:c r="K1276" s="498"/>
      <x:c r="L1276" s="498"/>
      <x:c r="M1276" s="498"/>
    </x:row>
    <x:row r="1277" ht="18" customHeight="1">
      <x:c r="A1277" s="498"/>
      <x:c r="B1277" s="498"/>
      <x:c r="C1277" s="498"/>
      <x:c r="D1277" s="498"/>
      <x:c r="E1277" s="498"/>
      <x:c r="F1277" s="498"/>
      <x:c r="G1277" s="498"/>
      <x:c r="H1277" s="498"/>
      <x:c r="I1277" s="498"/>
      <x:c r="J1277" s="498"/>
      <x:c r="K1277" s="498"/>
      <x:c r="L1277" s="498"/>
      <x:c r="M1277" s="498"/>
    </x:row>
    <x:row r="1278" ht="18" customHeight="1">
      <x:c r="A1278" s="498"/>
      <x:c r="B1278" s="498"/>
      <x:c r="C1278" s="498"/>
      <x:c r="D1278" s="498"/>
      <x:c r="E1278" s="498"/>
      <x:c r="F1278" s="498"/>
      <x:c r="G1278" s="498"/>
      <x:c r="H1278" s="498"/>
      <x:c r="I1278" s="498"/>
      <x:c r="J1278" s="498"/>
      <x:c r="K1278" s="498"/>
      <x:c r="L1278" s="498"/>
      <x:c r="M1278" s="498"/>
    </x:row>
    <x:row r="1279" ht="18" customHeight="1">
      <x:c r="A1279" s="498"/>
      <x:c r="B1279" s="498"/>
      <x:c r="C1279" s="498"/>
      <x:c r="D1279" s="498"/>
      <x:c r="E1279" s="498"/>
      <x:c r="F1279" s="498"/>
      <x:c r="G1279" s="498"/>
      <x:c r="H1279" s="498"/>
      <x:c r="I1279" s="498"/>
      <x:c r="J1279" s="498"/>
      <x:c r="K1279" s="498"/>
      <x:c r="L1279" s="498"/>
      <x:c r="M1279" s="498"/>
    </x:row>
    <x:row r="1280" ht="18" customHeight="1">
      <x:c r="A1280" s="498"/>
      <x:c r="B1280" s="498"/>
      <x:c r="C1280" s="498"/>
      <x:c r="D1280" s="498"/>
      <x:c r="E1280" s="498"/>
      <x:c r="F1280" s="498"/>
      <x:c r="G1280" s="498"/>
      <x:c r="H1280" s="498"/>
      <x:c r="I1280" s="498"/>
      <x:c r="J1280" s="498"/>
      <x:c r="K1280" s="498"/>
      <x:c r="L1280" s="498"/>
      <x:c r="M1280" s="498"/>
    </x:row>
    <x:row r="1281" ht="18" customHeight="1">
      <x:c r="A1281" s="498"/>
      <x:c r="B1281" s="498"/>
      <x:c r="C1281" s="498"/>
      <x:c r="D1281" s="498"/>
      <x:c r="E1281" s="498"/>
      <x:c r="F1281" s="498"/>
      <x:c r="G1281" s="498"/>
      <x:c r="H1281" s="498"/>
      <x:c r="I1281" s="498"/>
      <x:c r="J1281" s="498"/>
      <x:c r="K1281" s="498"/>
      <x:c r="L1281" s="498"/>
      <x:c r="M1281" s="498"/>
    </x:row>
    <x:row r="1282" ht="18" customHeight="1">
      <x:c r="A1282" s="498"/>
      <x:c r="B1282" s="498"/>
      <x:c r="C1282" s="498"/>
      <x:c r="D1282" s="498"/>
      <x:c r="E1282" s="498"/>
      <x:c r="F1282" s="498"/>
      <x:c r="G1282" s="498"/>
      <x:c r="H1282" s="498"/>
      <x:c r="I1282" s="498"/>
      <x:c r="J1282" s="498"/>
      <x:c r="K1282" s="498"/>
      <x:c r="L1282" s="498"/>
      <x:c r="M1282" s="498"/>
    </x:row>
    <x:row r="1283" ht="18" customHeight="1">
      <x:c r="A1283" s="498"/>
      <x:c r="B1283" s="498"/>
      <x:c r="C1283" s="498"/>
      <x:c r="D1283" s="498"/>
      <x:c r="E1283" s="498"/>
      <x:c r="F1283" s="498"/>
      <x:c r="G1283" s="498"/>
      <x:c r="H1283" s="498"/>
      <x:c r="I1283" s="498"/>
      <x:c r="J1283" s="498"/>
      <x:c r="K1283" s="498"/>
      <x:c r="L1283" s="498"/>
      <x:c r="M1283" s="498"/>
    </x:row>
    <x:row r="1284" ht="18" customHeight="1">
      <x:c r="A1284" s="498"/>
      <x:c r="B1284" s="498"/>
      <x:c r="C1284" s="498"/>
      <x:c r="D1284" s="498"/>
      <x:c r="E1284" s="498"/>
      <x:c r="F1284" s="498"/>
      <x:c r="G1284" s="498"/>
      <x:c r="H1284" s="498"/>
      <x:c r="I1284" s="498"/>
      <x:c r="J1284" s="498"/>
      <x:c r="K1284" s="498"/>
      <x:c r="L1284" s="498"/>
      <x:c r="M1284" s="498"/>
    </x:row>
    <x:row r="1285" ht="18" customHeight="1">
      <x:c r="A1285" s="498"/>
      <x:c r="B1285" s="498"/>
      <x:c r="C1285" s="498"/>
      <x:c r="D1285" s="498"/>
      <x:c r="E1285" s="498"/>
      <x:c r="F1285" s="498"/>
      <x:c r="G1285" s="498"/>
      <x:c r="H1285" s="498"/>
      <x:c r="I1285" s="498"/>
      <x:c r="J1285" s="498"/>
      <x:c r="K1285" s="498"/>
      <x:c r="L1285" s="498"/>
      <x:c r="M1285" s="498"/>
    </x:row>
    <x:row r="1286" ht="18" customHeight="1">
      <x:c r="A1286" s="498"/>
      <x:c r="B1286" s="498"/>
      <x:c r="C1286" s="498"/>
      <x:c r="D1286" s="498"/>
      <x:c r="E1286" s="498"/>
      <x:c r="F1286" s="498"/>
      <x:c r="G1286" s="498"/>
      <x:c r="H1286" s="498"/>
      <x:c r="I1286" s="498"/>
      <x:c r="J1286" s="498"/>
      <x:c r="K1286" s="498"/>
      <x:c r="L1286" s="498"/>
      <x:c r="M1286" s="498"/>
    </x:row>
    <x:row r="1287" ht="18" customHeight="1">
      <x:c r="A1287" s="498"/>
      <x:c r="B1287" s="498"/>
      <x:c r="C1287" s="498"/>
      <x:c r="D1287" s="498"/>
      <x:c r="E1287" s="498"/>
      <x:c r="F1287" s="498"/>
      <x:c r="G1287" s="498"/>
      <x:c r="H1287" s="498"/>
      <x:c r="I1287" s="498"/>
      <x:c r="J1287" s="498"/>
      <x:c r="K1287" s="498"/>
      <x:c r="L1287" s="498"/>
      <x:c r="M1287" s="498"/>
    </x:row>
    <x:row r="1288" ht="18" customHeight="1">
      <x:c r="A1288" s="498"/>
      <x:c r="B1288" s="498"/>
      <x:c r="C1288" s="498"/>
      <x:c r="D1288" s="498"/>
      <x:c r="E1288" s="498"/>
      <x:c r="F1288" s="498"/>
      <x:c r="G1288" s="498"/>
      <x:c r="H1288" s="498"/>
      <x:c r="I1288" s="498"/>
      <x:c r="J1288" s="498"/>
      <x:c r="K1288" s="498"/>
      <x:c r="L1288" s="498"/>
      <x:c r="M1288" s="498"/>
    </x:row>
    <x:row r="1289" ht="18" customHeight="1">
      <x:c r="A1289" s="498"/>
      <x:c r="B1289" s="498"/>
      <x:c r="C1289" s="498"/>
      <x:c r="D1289" s="498"/>
      <x:c r="E1289" s="498"/>
      <x:c r="F1289" s="498"/>
      <x:c r="G1289" s="498"/>
      <x:c r="H1289" s="498"/>
      <x:c r="I1289" s="498"/>
      <x:c r="J1289" s="498"/>
      <x:c r="K1289" s="498"/>
      <x:c r="L1289" s="498"/>
      <x:c r="M1289" s="498"/>
    </x:row>
    <x:row r="1290" ht="18" customHeight="1">
      <x:c r="A1290" s="498"/>
      <x:c r="B1290" s="498"/>
      <x:c r="C1290" s="498"/>
      <x:c r="D1290" s="498"/>
      <x:c r="E1290" s="498"/>
      <x:c r="F1290" s="498"/>
      <x:c r="G1290" s="498"/>
      <x:c r="H1290" s="498"/>
      <x:c r="I1290" s="498"/>
      <x:c r="J1290" s="498"/>
      <x:c r="K1290" s="498"/>
      <x:c r="L1290" s="498"/>
      <x:c r="M1290" s="498"/>
    </x:row>
    <x:row r="1291" ht="18" customHeight="1">
      <x:c r="A1291" s="498"/>
      <x:c r="B1291" s="498"/>
      <x:c r="C1291" s="498"/>
      <x:c r="D1291" s="498"/>
      <x:c r="E1291" s="498"/>
      <x:c r="F1291" s="498"/>
      <x:c r="G1291" s="498"/>
      <x:c r="H1291" s="498"/>
      <x:c r="I1291" s="498"/>
      <x:c r="J1291" s="498"/>
      <x:c r="K1291" s="498"/>
      <x:c r="L1291" s="498"/>
      <x:c r="M1291" s="498"/>
    </x:row>
    <x:row r="1292" ht="18" customHeight="1">
      <x:c r="A1292" s="498"/>
      <x:c r="B1292" s="498"/>
      <x:c r="C1292" s="498"/>
      <x:c r="D1292" s="498"/>
      <x:c r="E1292" s="498"/>
      <x:c r="F1292" s="498"/>
      <x:c r="G1292" s="498"/>
      <x:c r="H1292" s="498"/>
      <x:c r="I1292" s="498"/>
      <x:c r="J1292" s="498"/>
      <x:c r="K1292" s="498"/>
      <x:c r="L1292" s="498"/>
      <x:c r="M1292" s="498"/>
    </x:row>
    <x:row r="1293" ht="18" customHeight="1">
      <x:c r="A1293" s="498"/>
      <x:c r="B1293" s="498"/>
      <x:c r="C1293" s="498"/>
      <x:c r="D1293" s="498"/>
      <x:c r="E1293" s="498"/>
      <x:c r="F1293" s="498"/>
      <x:c r="G1293" s="498"/>
      <x:c r="H1293" s="498"/>
      <x:c r="I1293" s="498"/>
      <x:c r="J1293" s="498"/>
      <x:c r="K1293" s="498"/>
      <x:c r="L1293" s="498"/>
      <x:c r="M1293" s="498"/>
    </x:row>
    <x:row r="1294" ht="18" customHeight="1">
      <x:c r="A1294" s="498"/>
      <x:c r="B1294" s="498"/>
      <x:c r="C1294" s="498"/>
      <x:c r="D1294" s="498"/>
      <x:c r="E1294" s="498"/>
      <x:c r="F1294" s="498"/>
      <x:c r="G1294" s="498"/>
      <x:c r="H1294" s="498"/>
      <x:c r="I1294" s="498"/>
      <x:c r="J1294" s="498"/>
      <x:c r="K1294" s="498"/>
      <x:c r="L1294" s="498"/>
      <x:c r="M1294" s="498"/>
    </x:row>
    <x:row r="1295" ht="18" customHeight="1">
      <x:c r="A1295" s="498"/>
      <x:c r="B1295" s="498"/>
      <x:c r="C1295" s="498"/>
      <x:c r="D1295" s="498"/>
      <x:c r="E1295" s="498"/>
      <x:c r="F1295" s="498"/>
      <x:c r="G1295" s="498"/>
      <x:c r="H1295" s="498"/>
      <x:c r="I1295" s="498"/>
      <x:c r="J1295" s="498"/>
      <x:c r="K1295" s="498"/>
      <x:c r="L1295" s="498"/>
      <x:c r="M1295" s="498"/>
    </x:row>
    <x:row r="1296" ht="18" customHeight="1">
      <x:c r="A1296" s="498"/>
      <x:c r="B1296" s="498"/>
      <x:c r="C1296" s="498"/>
      <x:c r="D1296" s="498"/>
      <x:c r="E1296" s="498"/>
      <x:c r="F1296" s="498"/>
      <x:c r="G1296" s="498"/>
      <x:c r="H1296" s="498"/>
      <x:c r="I1296" s="498"/>
      <x:c r="J1296" s="498"/>
      <x:c r="K1296" s="498"/>
      <x:c r="L1296" s="498"/>
      <x:c r="M1296" s="498"/>
    </x:row>
    <x:row r="1297" ht="18" customHeight="1">
      <x:c r="A1297" s="498"/>
      <x:c r="B1297" s="498"/>
      <x:c r="C1297" s="498"/>
      <x:c r="D1297" s="498"/>
      <x:c r="E1297" s="498"/>
      <x:c r="F1297" s="498"/>
      <x:c r="G1297" s="498"/>
      <x:c r="H1297" s="498"/>
      <x:c r="I1297" s="498"/>
      <x:c r="J1297" s="498"/>
      <x:c r="K1297" s="498"/>
      <x:c r="L1297" s="498"/>
      <x:c r="M1297" s="498"/>
    </x:row>
    <x:row r="1298" ht="18" customHeight="1">
      <x:c r="A1298" s="498"/>
      <x:c r="B1298" s="498"/>
      <x:c r="C1298" s="498"/>
      <x:c r="D1298" s="498"/>
      <x:c r="E1298" s="498"/>
      <x:c r="F1298" s="498"/>
      <x:c r="G1298" s="498"/>
      <x:c r="H1298" s="498"/>
      <x:c r="I1298" s="498"/>
      <x:c r="J1298" s="498"/>
      <x:c r="K1298" s="498"/>
      <x:c r="L1298" s="498"/>
      <x:c r="M1298" s="498"/>
    </x:row>
    <x:row r="1299" ht="18" customHeight="1">
      <x:c r="A1299" s="498"/>
      <x:c r="B1299" s="498"/>
      <x:c r="C1299" s="498"/>
      <x:c r="D1299" s="498"/>
      <x:c r="E1299" s="498"/>
      <x:c r="F1299" s="498"/>
      <x:c r="G1299" s="498"/>
      <x:c r="H1299" s="498"/>
      <x:c r="I1299" s="498"/>
      <x:c r="J1299" s="498"/>
      <x:c r="K1299" s="498"/>
      <x:c r="L1299" s="498"/>
      <x:c r="M1299" s="498"/>
    </x:row>
    <x:row r="1300" ht="18" customHeight="1">
      <x:c r="A1300" s="498"/>
      <x:c r="B1300" s="498"/>
      <x:c r="C1300" s="498"/>
      <x:c r="D1300" s="498"/>
      <x:c r="E1300" s="498"/>
      <x:c r="F1300" s="498"/>
      <x:c r="G1300" s="498"/>
      <x:c r="H1300" s="498"/>
      <x:c r="I1300" s="498"/>
      <x:c r="J1300" s="498"/>
      <x:c r="K1300" s="498"/>
      <x:c r="L1300" s="498"/>
      <x:c r="M1300" s="498"/>
    </x:row>
    <x:row r="1301" ht="18" customHeight="1">
      <x:c r="A1301" s="498"/>
      <x:c r="B1301" s="498"/>
      <x:c r="C1301" s="498"/>
      <x:c r="D1301" s="498"/>
      <x:c r="E1301" s="498"/>
      <x:c r="F1301" s="498"/>
      <x:c r="G1301" s="498"/>
      <x:c r="H1301" s="498"/>
      <x:c r="I1301" s="498"/>
      <x:c r="J1301" s="498"/>
      <x:c r="K1301" s="498"/>
      <x:c r="L1301" s="498"/>
      <x:c r="M1301" s="498"/>
    </x:row>
    <x:row r="1302" ht="18" customHeight="1">
      <x:c r="A1302" s="498"/>
      <x:c r="B1302" s="498"/>
      <x:c r="C1302" s="498"/>
      <x:c r="D1302" s="498"/>
      <x:c r="E1302" s="498"/>
      <x:c r="F1302" s="498"/>
      <x:c r="G1302" s="498"/>
      <x:c r="H1302" s="498"/>
      <x:c r="I1302" s="498"/>
      <x:c r="J1302" s="498"/>
      <x:c r="K1302" s="498"/>
      <x:c r="L1302" s="498"/>
      <x:c r="M1302" s="498"/>
    </x:row>
    <x:row r="1303" ht="18" customHeight="1">
      <x:c r="A1303" s="498"/>
      <x:c r="B1303" s="498"/>
      <x:c r="C1303" s="498"/>
      <x:c r="D1303" s="498"/>
      <x:c r="E1303" s="498"/>
      <x:c r="F1303" s="498"/>
      <x:c r="G1303" s="498"/>
      <x:c r="H1303" s="498"/>
      <x:c r="I1303" s="498"/>
      <x:c r="J1303" s="498"/>
      <x:c r="K1303" s="498"/>
      <x:c r="L1303" s="498"/>
      <x:c r="M1303" s="498"/>
    </x:row>
    <x:row r="1304" ht="18" customHeight="1">
      <x:c r="A1304" s="498"/>
      <x:c r="B1304" s="498"/>
      <x:c r="C1304" s="498"/>
      <x:c r="D1304" s="498"/>
      <x:c r="E1304" s="498"/>
      <x:c r="F1304" s="498"/>
      <x:c r="G1304" s="498"/>
      <x:c r="H1304" s="498"/>
      <x:c r="I1304" s="498"/>
      <x:c r="J1304" s="498"/>
      <x:c r="K1304" s="498"/>
      <x:c r="L1304" s="498"/>
      <x:c r="M1304" s="498"/>
    </x:row>
    <x:row r="1305" ht="18" customHeight="1">
      <x:c r="A1305" s="498"/>
      <x:c r="B1305" s="498"/>
      <x:c r="C1305" s="498"/>
      <x:c r="D1305" s="498"/>
      <x:c r="E1305" s="498"/>
      <x:c r="F1305" s="498"/>
      <x:c r="G1305" s="498"/>
      <x:c r="H1305" s="498"/>
      <x:c r="I1305" s="498"/>
      <x:c r="J1305" s="498"/>
      <x:c r="K1305" s="498"/>
      <x:c r="L1305" s="498"/>
      <x:c r="M1305" s="498"/>
    </x:row>
    <x:row r="1306" ht="18" customHeight="1">
      <x:c r="A1306" s="498"/>
      <x:c r="B1306" s="498"/>
      <x:c r="C1306" s="498"/>
      <x:c r="D1306" s="498"/>
      <x:c r="E1306" s="498"/>
      <x:c r="F1306" s="498"/>
      <x:c r="G1306" s="498"/>
      <x:c r="H1306" s="498"/>
      <x:c r="I1306" s="498"/>
      <x:c r="J1306" s="498"/>
      <x:c r="K1306" s="498"/>
      <x:c r="L1306" s="498"/>
      <x:c r="M1306" s="498"/>
    </x:row>
    <x:row r="1307" ht="18" customHeight="1">
      <x:c r="A1307" s="498"/>
      <x:c r="B1307" s="498"/>
      <x:c r="C1307" s="498"/>
      <x:c r="D1307" s="498"/>
      <x:c r="E1307" s="498"/>
      <x:c r="F1307" s="498"/>
      <x:c r="G1307" s="498"/>
      <x:c r="H1307" s="498"/>
      <x:c r="I1307" s="498"/>
      <x:c r="J1307" s="498"/>
      <x:c r="K1307" s="498"/>
      <x:c r="L1307" s="498"/>
      <x:c r="M1307" s="498"/>
    </x:row>
    <x:row r="1308" ht="18" customHeight="1">
      <x:c r="A1308" s="498"/>
      <x:c r="B1308" s="498"/>
      <x:c r="C1308" s="498"/>
      <x:c r="D1308" s="498"/>
      <x:c r="E1308" s="498"/>
      <x:c r="F1308" s="498"/>
      <x:c r="G1308" s="498"/>
      <x:c r="H1308" s="498"/>
      <x:c r="I1308" s="498"/>
      <x:c r="J1308" s="498"/>
      <x:c r="K1308" s="498"/>
      <x:c r="L1308" s="498"/>
      <x:c r="M1308" s="498"/>
    </x:row>
    <x:row r="1309" ht="18" customHeight="1">
      <x:c r="A1309" s="498"/>
      <x:c r="B1309" s="498"/>
      <x:c r="C1309" s="498"/>
      <x:c r="D1309" s="498"/>
      <x:c r="E1309" s="498"/>
      <x:c r="F1309" s="498"/>
      <x:c r="G1309" s="498"/>
      <x:c r="H1309" s="498"/>
      <x:c r="I1309" s="498"/>
      <x:c r="J1309" s="498"/>
      <x:c r="K1309" s="498"/>
      <x:c r="L1309" s="498"/>
      <x:c r="M1309" s="498"/>
    </x:row>
    <x:row r="1310" ht="18" customHeight="1">
      <x:c r="A1310" s="498"/>
      <x:c r="B1310" s="498"/>
      <x:c r="C1310" s="498"/>
      <x:c r="D1310" s="498"/>
      <x:c r="E1310" s="498"/>
      <x:c r="F1310" s="498"/>
      <x:c r="G1310" s="498"/>
      <x:c r="H1310" s="498"/>
      <x:c r="I1310" s="498"/>
      <x:c r="J1310" s="498"/>
      <x:c r="K1310" s="498"/>
      <x:c r="L1310" s="498"/>
      <x:c r="M1310" s="498"/>
    </x:row>
    <x:row r="1311" ht="18" customHeight="1">
      <x:c r="A1311" s="498"/>
      <x:c r="B1311" s="498"/>
      <x:c r="C1311" s="498"/>
      <x:c r="D1311" s="498"/>
      <x:c r="E1311" s="498"/>
      <x:c r="F1311" s="498"/>
      <x:c r="G1311" s="498"/>
      <x:c r="H1311" s="498"/>
      <x:c r="I1311" s="498"/>
      <x:c r="J1311" s="498"/>
      <x:c r="K1311" s="498"/>
      <x:c r="L1311" s="498"/>
      <x:c r="M1311" s="498"/>
    </x:row>
    <x:row r="1312" ht="18" customHeight="1">
      <x:c r="A1312" s="498"/>
      <x:c r="B1312" s="498"/>
      <x:c r="C1312" s="498"/>
      <x:c r="D1312" s="498"/>
      <x:c r="E1312" s="498"/>
      <x:c r="F1312" s="498"/>
      <x:c r="G1312" s="498"/>
      <x:c r="H1312" s="498"/>
      <x:c r="I1312" s="498"/>
      <x:c r="J1312" s="498"/>
      <x:c r="K1312" s="498"/>
      <x:c r="L1312" s="498"/>
      <x:c r="M1312" s="498"/>
    </x:row>
    <x:row r="1313" ht="18" customHeight="1">
      <x:c r="A1313" s="498"/>
      <x:c r="B1313" s="498"/>
      <x:c r="C1313" s="498"/>
      <x:c r="D1313" s="498"/>
      <x:c r="E1313" s="498"/>
      <x:c r="F1313" s="498"/>
      <x:c r="G1313" s="498"/>
      <x:c r="H1313" s="498"/>
      <x:c r="I1313" s="498"/>
      <x:c r="J1313" s="498"/>
      <x:c r="K1313" s="498"/>
      <x:c r="L1313" s="498"/>
      <x:c r="M1313" s="498"/>
    </x:row>
    <x:row r="1314" ht="18" customHeight="1">
      <x:c r="A1314" s="498"/>
      <x:c r="B1314" s="498"/>
      <x:c r="C1314" s="498"/>
      <x:c r="D1314" s="498"/>
      <x:c r="E1314" s="498"/>
      <x:c r="F1314" s="498"/>
      <x:c r="G1314" s="498"/>
      <x:c r="H1314" s="498"/>
      <x:c r="I1314" s="498"/>
      <x:c r="J1314" s="498"/>
      <x:c r="K1314" s="498"/>
      <x:c r="L1314" s="498"/>
      <x:c r="M1314" s="498"/>
    </x:row>
    <x:row r="1315" ht="18" customHeight="1">
      <x:c r="A1315" s="498"/>
      <x:c r="B1315" s="498"/>
      <x:c r="C1315" s="498"/>
      <x:c r="D1315" s="498"/>
      <x:c r="E1315" s="498"/>
      <x:c r="F1315" s="498"/>
      <x:c r="G1315" s="498"/>
      <x:c r="H1315" s="498"/>
      <x:c r="I1315" s="498"/>
      <x:c r="J1315" s="498"/>
      <x:c r="K1315" s="498"/>
      <x:c r="L1315" s="498"/>
      <x:c r="M1315" s="498"/>
    </x:row>
    <x:row r="1316" ht="18" customHeight="1">
      <x:c r="A1316" s="498"/>
      <x:c r="B1316" s="498"/>
      <x:c r="C1316" s="498"/>
      <x:c r="D1316" s="498"/>
      <x:c r="E1316" s="498"/>
      <x:c r="F1316" s="498"/>
      <x:c r="G1316" s="498"/>
      <x:c r="H1316" s="498"/>
      <x:c r="I1316" s="498"/>
      <x:c r="J1316" s="498"/>
      <x:c r="K1316" s="498"/>
      <x:c r="L1316" s="498"/>
      <x:c r="M1316" s="498"/>
    </x:row>
    <x:row r="1317" ht="18" customHeight="1">
      <x:c r="A1317" s="498"/>
      <x:c r="B1317" s="498"/>
      <x:c r="C1317" s="498"/>
      <x:c r="D1317" s="498"/>
      <x:c r="E1317" s="498"/>
      <x:c r="F1317" s="498"/>
      <x:c r="G1317" s="498"/>
      <x:c r="H1317" s="498"/>
      <x:c r="I1317" s="498"/>
      <x:c r="J1317" s="498"/>
      <x:c r="K1317" s="498"/>
      <x:c r="L1317" s="498"/>
      <x:c r="M1317" s="498"/>
    </x:row>
    <x:row r="1318" ht="18" customHeight="1">
      <x:c r="A1318" s="498"/>
      <x:c r="B1318" s="498"/>
      <x:c r="C1318" s="498"/>
      <x:c r="D1318" s="498"/>
      <x:c r="E1318" s="498"/>
      <x:c r="F1318" s="498"/>
      <x:c r="G1318" s="498"/>
      <x:c r="H1318" s="498"/>
      <x:c r="I1318" s="498"/>
      <x:c r="J1318" s="498"/>
      <x:c r="K1318" s="498"/>
      <x:c r="L1318" s="498"/>
      <x:c r="M1318" s="498"/>
    </x:row>
    <x:row r="1319" ht="18" customHeight="1">
      <x:c r="A1319" s="498"/>
      <x:c r="B1319" s="498"/>
      <x:c r="C1319" s="498"/>
      <x:c r="D1319" s="498"/>
      <x:c r="E1319" s="498"/>
      <x:c r="F1319" s="498"/>
      <x:c r="G1319" s="498"/>
      <x:c r="H1319" s="498"/>
      <x:c r="I1319" s="498"/>
      <x:c r="J1319" s="498"/>
      <x:c r="K1319" s="498"/>
      <x:c r="L1319" s="498"/>
      <x:c r="M1319" s="498"/>
    </x:row>
    <x:row r="1320" ht="18" customHeight="1">
      <x:c r="A1320" s="498"/>
      <x:c r="B1320" s="498"/>
      <x:c r="C1320" s="498"/>
      <x:c r="D1320" s="498"/>
      <x:c r="E1320" s="498"/>
      <x:c r="F1320" s="498"/>
      <x:c r="G1320" s="498"/>
      <x:c r="H1320" s="498"/>
      <x:c r="I1320" s="498"/>
      <x:c r="J1320" s="498"/>
      <x:c r="K1320" s="498"/>
      <x:c r="L1320" s="498"/>
      <x:c r="M1320" s="498"/>
    </x:row>
    <x:row r="1321" ht="18" customHeight="1">
      <x:c r="A1321" s="498"/>
      <x:c r="B1321" s="498"/>
      <x:c r="C1321" s="498"/>
      <x:c r="D1321" s="498"/>
      <x:c r="E1321" s="498"/>
      <x:c r="F1321" s="498"/>
      <x:c r="G1321" s="498"/>
      <x:c r="H1321" s="498"/>
      <x:c r="I1321" s="498"/>
      <x:c r="J1321" s="498"/>
      <x:c r="K1321" s="498"/>
      <x:c r="L1321" s="498"/>
      <x:c r="M1321" s="498"/>
    </x:row>
    <x:row r="1322" ht="18" customHeight="1">
      <x:c r="A1322" s="498"/>
      <x:c r="B1322" s="498"/>
      <x:c r="C1322" s="498"/>
      <x:c r="D1322" s="498"/>
      <x:c r="E1322" s="498"/>
      <x:c r="F1322" s="498"/>
      <x:c r="G1322" s="498"/>
      <x:c r="H1322" s="498"/>
      <x:c r="I1322" s="498"/>
      <x:c r="J1322" s="498"/>
      <x:c r="K1322" s="498"/>
      <x:c r="L1322" s="498"/>
      <x:c r="M1322" s="498"/>
    </x:row>
    <x:row r="1323" ht="18" customHeight="1">
      <x:c r="A1323" s="498"/>
      <x:c r="B1323" s="498"/>
      <x:c r="C1323" s="498"/>
      <x:c r="D1323" s="498"/>
      <x:c r="E1323" s="498"/>
      <x:c r="F1323" s="498"/>
      <x:c r="G1323" s="498"/>
      <x:c r="H1323" s="498"/>
      <x:c r="I1323" s="498"/>
      <x:c r="J1323" s="498"/>
      <x:c r="K1323" s="498"/>
      <x:c r="L1323" s="498"/>
      <x:c r="M1323" s="498"/>
    </x:row>
    <x:row r="1324" ht="18" customHeight="1">
      <x:c r="A1324" s="498"/>
      <x:c r="B1324" s="498"/>
      <x:c r="C1324" s="498"/>
      <x:c r="D1324" s="498"/>
      <x:c r="E1324" s="498"/>
      <x:c r="F1324" s="498"/>
      <x:c r="G1324" s="498"/>
      <x:c r="H1324" s="498"/>
      <x:c r="I1324" s="498"/>
      <x:c r="J1324" s="498"/>
      <x:c r="K1324" s="498"/>
      <x:c r="L1324" s="498"/>
      <x:c r="M1324" s="498"/>
    </x:row>
    <x:row r="1325" ht="18" customHeight="1">
      <x:c r="A1325" s="498"/>
      <x:c r="B1325" s="498"/>
      <x:c r="C1325" s="498"/>
      <x:c r="D1325" s="498"/>
      <x:c r="E1325" s="498"/>
      <x:c r="F1325" s="498"/>
      <x:c r="G1325" s="498"/>
      <x:c r="H1325" s="498"/>
      <x:c r="I1325" s="498"/>
      <x:c r="J1325" s="498"/>
      <x:c r="K1325" s="498"/>
      <x:c r="L1325" s="498"/>
      <x:c r="M1325" s="498"/>
    </x:row>
    <x:row r="1326" ht="18" customHeight="1">
      <x:c r="A1326" s="498"/>
      <x:c r="B1326" s="498"/>
      <x:c r="C1326" s="498"/>
      <x:c r="D1326" s="498"/>
      <x:c r="E1326" s="498"/>
      <x:c r="F1326" s="498"/>
      <x:c r="G1326" s="498"/>
      <x:c r="H1326" s="498"/>
      <x:c r="I1326" s="498"/>
      <x:c r="J1326" s="498"/>
      <x:c r="K1326" s="498"/>
      <x:c r="L1326" s="498"/>
      <x:c r="M1326" s="498"/>
    </x:row>
    <x:row r="1327" ht="18" customHeight="1">
      <x:c r="A1327" s="498"/>
      <x:c r="B1327" s="498"/>
      <x:c r="C1327" s="498"/>
      <x:c r="D1327" s="498"/>
      <x:c r="E1327" s="498"/>
      <x:c r="F1327" s="498"/>
      <x:c r="G1327" s="498"/>
      <x:c r="H1327" s="498"/>
      <x:c r="I1327" s="498"/>
      <x:c r="J1327" s="498"/>
      <x:c r="K1327" s="498"/>
      <x:c r="L1327" s="498"/>
      <x:c r="M1327" s="498"/>
    </x:row>
    <x:row r="1328" ht="18" customHeight="1">
      <x:c r="A1328" s="498"/>
      <x:c r="B1328" s="498"/>
      <x:c r="C1328" s="498"/>
      <x:c r="D1328" s="498"/>
      <x:c r="E1328" s="498"/>
      <x:c r="F1328" s="498"/>
      <x:c r="G1328" s="498"/>
      <x:c r="H1328" s="498"/>
      <x:c r="I1328" s="498"/>
      <x:c r="J1328" s="498"/>
      <x:c r="K1328" s="498"/>
      <x:c r="L1328" s="498"/>
      <x:c r="M1328" s="498"/>
    </x:row>
    <x:row r="1329" ht="18" customHeight="1">
      <x:c r="A1329" s="498"/>
      <x:c r="B1329" s="498"/>
      <x:c r="C1329" s="498"/>
      <x:c r="D1329" s="498"/>
      <x:c r="E1329" s="498"/>
      <x:c r="F1329" s="498"/>
      <x:c r="G1329" s="498"/>
      <x:c r="H1329" s="498"/>
      <x:c r="I1329" s="498"/>
      <x:c r="J1329" s="498"/>
      <x:c r="K1329" s="498"/>
      <x:c r="L1329" s="498"/>
      <x:c r="M1329" s="498"/>
    </x:row>
    <x:row r="1330" ht="18" customHeight="1">
      <x:c r="A1330" s="498"/>
      <x:c r="B1330" s="498"/>
      <x:c r="C1330" s="498"/>
      <x:c r="D1330" s="498"/>
      <x:c r="E1330" s="498"/>
      <x:c r="F1330" s="498"/>
      <x:c r="G1330" s="498"/>
      <x:c r="H1330" s="498"/>
      <x:c r="I1330" s="498"/>
      <x:c r="J1330" s="498"/>
      <x:c r="K1330" s="498"/>
      <x:c r="L1330" s="498"/>
      <x:c r="M1330" s="498"/>
    </x:row>
    <x:row r="1331" ht="18" customHeight="1">
      <x:c r="A1331" s="498"/>
      <x:c r="B1331" s="498"/>
      <x:c r="C1331" s="498"/>
      <x:c r="D1331" s="498"/>
      <x:c r="E1331" s="498"/>
      <x:c r="F1331" s="498"/>
      <x:c r="G1331" s="498"/>
      <x:c r="H1331" s="498"/>
      <x:c r="I1331" s="498"/>
      <x:c r="J1331" s="498"/>
      <x:c r="K1331" s="498"/>
      <x:c r="L1331" s="498"/>
      <x:c r="M1331" s="498"/>
    </x:row>
    <x:row r="1332" ht="18" customHeight="1">
      <x:c r="A1332" s="498"/>
      <x:c r="B1332" s="498"/>
      <x:c r="C1332" s="498"/>
      <x:c r="D1332" s="498"/>
      <x:c r="E1332" s="498"/>
      <x:c r="F1332" s="498"/>
      <x:c r="G1332" s="498"/>
      <x:c r="H1332" s="498"/>
      <x:c r="I1332" s="498"/>
      <x:c r="J1332" s="498"/>
      <x:c r="K1332" s="498"/>
      <x:c r="L1332" s="498"/>
      <x:c r="M1332" s="498"/>
    </x:row>
    <x:row r="1333" ht="18" customHeight="1">
      <x:c r="A1333" s="498"/>
      <x:c r="B1333" s="498"/>
      <x:c r="C1333" s="498"/>
      <x:c r="D1333" s="498"/>
      <x:c r="E1333" s="498"/>
      <x:c r="F1333" s="498"/>
      <x:c r="G1333" s="498"/>
      <x:c r="H1333" s="498"/>
      <x:c r="I1333" s="498"/>
      <x:c r="J1333" s="498"/>
      <x:c r="K1333" s="498"/>
      <x:c r="L1333" s="498"/>
      <x:c r="M1333" s="498"/>
    </x:row>
    <x:row r="1334" ht="18" customHeight="1">
      <x:c r="A1334" s="498"/>
      <x:c r="B1334" s="498"/>
      <x:c r="C1334" s="498"/>
      <x:c r="D1334" s="498"/>
      <x:c r="E1334" s="498"/>
      <x:c r="F1334" s="498"/>
      <x:c r="G1334" s="498"/>
      <x:c r="H1334" s="498"/>
      <x:c r="I1334" s="498"/>
      <x:c r="J1334" s="498"/>
      <x:c r="K1334" s="498"/>
      <x:c r="L1334" s="498"/>
      <x:c r="M1334" s="498"/>
    </x:row>
    <x:row r="1335" ht="18" customHeight="1">
      <x:c r="A1335" s="498"/>
      <x:c r="B1335" s="498"/>
      <x:c r="C1335" s="498"/>
      <x:c r="D1335" s="498"/>
      <x:c r="E1335" s="498"/>
      <x:c r="F1335" s="498"/>
      <x:c r="G1335" s="498"/>
      <x:c r="H1335" s="498"/>
      <x:c r="I1335" s="498"/>
      <x:c r="J1335" s="498"/>
      <x:c r="K1335" s="498"/>
      <x:c r="L1335" s="498"/>
      <x:c r="M1335" s="498"/>
    </x:row>
    <x:row r="1336" ht="18" customHeight="1">
      <x:c r="A1336" s="498"/>
      <x:c r="B1336" s="498"/>
      <x:c r="C1336" s="498"/>
      <x:c r="D1336" s="498"/>
      <x:c r="E1336" s="498"/>
      <x:c r="F1336" s="498"/>
      <x:c r="G1336" s="498"/>
      <x:c r="H1336" s="498"/>
      <x:c r="I1336" s="498"/>
      <x:c r="J1336" s="498"/>
      <x:c r="K1336" s="498"/>
      <x:c r="L1336" s="498"/>
      <x:c r="M1336" s="498"/>
    </x:row>
    <x:row r="1337" ht="18" customHeight="1">
      <x:c r="A1337" s="498"/>
      <x:c r="B1337" s="498"/>
      <x:c r="C1337" s="498"/>
      <x:c r="D1337" s="498"/>
      <x:c r="E1337" s="498"/>
      <x:c r="F1337" s="498"/>
      <x:c r="G1337" s="498"/>
      <x:c r="H1337" s="498"/>
      <x:c r="I1337" s="498"/>
      <x:c r="J1337" s="498"/>
      <x:c r="K1337" s="498"/>
      <x:c r="L1337" s="498"/>
      <x:c r="M1337" s="498"/>
    </x:row>
    <x:row r="1338" ht="18" customHeight="1">
      <x:c r="A1338" s="498"/>
      <x:c r="B1338" s="498"/>
      <x:c r="C1338" s="498"/>
      <x:c r="D1338" s="498"/>
      <x:c r="E1338" s="498"/>
      <x:c r="F1338" s="498"/>
      <x:c r="G1338" s="498"/>
      <x:c r="H1338" s="498"/>
      <x:c r="I1338" s="498"/>
      <x:c r="J1338" s="498"/>
      <x:c r="K1338" s="498"/>
      <x:c r="L1338" s="498"/>
      <x:c r="M1338" s="498"/>
    </x:row>
    <x:row r="1339" ht="18" customHeight="1">
      <x:c r="A1339" s="498"/>
      <x:c r="B1339" s="498"/>
      <x:c r="C1339" s="498"/>
      <x:c r="D1339" s="498"/>
      <x:c r="E1339" s="498"/>
      <x:c r="F1339" s="498"/>
      <x:c r="G1339" s="498"/>
      <x:c r="H1339" s="498"/>
      <x:c r="I1339" s="498"/>
      <x:c r="J1339" s="498"/>
      <x:c r="K1339" s="498"/>
      <x:c r="L1339" s="498"/>
      <x:c r="M1339" s="498"/>
    </x:row>
    <x:row r="1340" ht="18" customHeight="1">
      <x:c r="A1340" s="498"/>
      <x:c r="B1340" s="498"/>
      <x:c r="C1340" s="498"/>
      <x:c r="D1340" s="498"/>
      <x:c r="E1340" s="498"/>
      <x:c r="F1340" s="498"/>
      <x:c r="G1340" s="498"/>
      <x:c r="H1340" s="498"/>
      <x:c r="I1340" s="498"/>
      <x:c r="J1340" s="498"/>
      <x:c r="K1340" s="498"/>
      <x:c r="L1340" s="498"/>
      <x:c r="M1340" s="498"/>
    </x:row>
    <x:row r="1341" ht="18" customHeight="1">
      <x:c r="A1341" s="498"/>
      <x:c r="B1341" s="498"/>
      <x:c r="C1341" s="498"/>
      <x:c r="D1341" s="498"/>
      <x:c r="E1341" s="498"/>
      <x:c r="F1341" s="498"/>
      <x:c r="G1341" s="498"/>
      <x:c r="H1341" s="498"/>
      <x:c r="I1341" s="498"/>
      <x:c r="J1341" s="498"/>
      <x:c r="K1341" s="498"/>
      <x:c r="L1341" s="498"/>
      <x:c r="M1341" s="498"/>
    </x:row>
    <x:row r="1342" ht="18" customHeight="1">
      <x:c r="A1342" s="498"/>
      <x:c r="B1342" s="498"/>
      <x:c r="C1342" s="498"/>
      <x:c r="D1342" s="498"/>
      <x:c r="E1342" s="498"/>
      <x:c r="F1342" s="498"/>
      <x:c r="G1342" s="498"/>
      <x:c r="H1342" s="498"/>
      <x:c r="I1342" s="498"/>
      <x:c r="J1342" s="498"/>
      <x:c r="K1342" s="498"/>
      <x:c r="L1342" s="498"/>
      <x:c r="M1342" s="498"/>
    </x:row>
    <x:row r="1343" ht="18" customHeight="1">
      <x:c r="A1343" s="498"/>
      <x:c r="B1343" s="498"/>
      <x:c r="C1343" s="498"/>
      <x:c r="D1343" s="498"/>
      <x:c r="E1343" s="498"/>
      <x:c r="F1343" s="498"/>
      <x:c r="G1343" s="498"/>
      <x:c r="H1343" s="498"/>
      <x:c r="I1343" s="498"/>
      <x:c r="J1343" s="498"/>
      <x:c r="K1343" s="498"/>
      <x:c r="L1343" s="498"/>
      <x:c r="M1343" s="498"/>
    </x:row>
    <x:row r="1344" ht="18" customHeight="1">
      <x:c r="A1344" s="498"/>
      <x:c r="B1344" s="498"/>
      <x:c r="C1344" s="498"/>
      <x:c r="D1344" s="498"/>
      <x:c r="E1344" s="498"/>
      <x:c r="F1344" s="498"/>
      <x:c r="G1344" s="498"/>
      <x:c r="H1344" s="498"/>
      <x:c r="I1344" s="498"/>
      <x:c r="J1344" s="498"/>
      <x:c r="K1344" s="498"/>
      <x:c r="L1344" s="498"/>
      <x:c r="M1344" s="498"/>
    </x:row>
    <x:row r="1345" ht="18" customHeight="1">
      <x:c r="A1345" s="498"/>
      <x:c r="B1345" s="498"/>
      <x:c r="C1345" s="498"/>
      <x:c r="D1345" s="498"/>
      <x:c r="E1345" s="498"/>
      <x:c r="F1345" s="498"/>
      <x:c r="G1345" s="498"/>
      <x:c r="H1345" s="498"/>
      <x:c r="I1345" s="498"/>
      <x:c r="J1345" s="498"/>
      <x:c r="K1345" s="498"/>
      <x:c r="L1345" s="498"/>
      <x:c r="M1345" s="498"/>
    </x:row>
    <x:row r="1346" ht="18" customHeight="1">
      <x:c r="A1346" s="498"/>
      <x:c r="B1346" s="498"/>
      <x:c r="C1346" s="498"/>
      <x:c r="D1346" s="498"/>
      <x:c r="E1346" s="498"/>
      <x:c r="F1346" s="498"/>
      <x:c r="G1346" s="498"/>
      <x:c r="H1346" s="498"/>
      <x:c r="I1346" s="498"/>
      <x:c r="J1346" s="498"/>
      <x:c r="K1346" s="498"/>
      <x:c r="L1346" s="498"/>
      <x:c r="M1346" s="498"/>
    </x:row>
    <x:row r="1347" ht="18" customHeight="1">
      <x:c r="A1347" s="498"/>
      <x:c r="B1347" s="498"/>
      <x:c r="C1347" s="498"/>
      <x:c r="D1347" s="498"/>
      <x:c r="E1347" s="498"/>
      <x:c r="F1347" s="498"/>
      <x:c r="G1347" s="498"/>
      <x:c r="H1347" s="498"/>
      <x:c r="I1347" s="498"/>
      <x:c r="J1347" s="498"/>
      <x:c r="K1347" s="498"/>
      <x:c r="L1347" s="498"/>
      <x:c r="M1347" s="498"/>
    </x:row>
    <x:row r="1348" ht="18" customHeight="1">
      <x:c r="A1348" s="498"/>
      <x:c r="B1348" s="498"/>
      <x:c r="C1348" s="498"/>
      <x:c r="D1348" s="498"/>
      <x:c r="E1348" s="498"/>
      <x:c r="F1348" s="498"/>
      <x:c r="G1348" s="498"/>
      <x:c r="H1348" s="498"/>
      <x:c r="I1348" s="498"/>
      <x:c r="J1348" s="498"/>
      <x:c r="K1348" s="498"/>
      <x:c r="L1348" s="498"/>
      <x:c r="M1348" s="498"/>
    </x:row>
    <x:row r="1349" ht="18" customHeight="1">
      <x:c r="A1349" s="498"/>
      <x:c r="B1349" s="498"/>
      <x:c r="C1349" s="498"/>
      <x:c r="D1349" s="498"/>
      <x:c r="E1349" s="498"/>
      <x:c r="F1349" s="498"/>
      <x:c r="G1349" s="498"/>
      <x:c r="H1349" s="498"/>
      <x:c r="I1349" s="498"/>
      <x:c r="J1349" s="498"/>
      <x:c r="K1349" s="498"/>
      <x:c r="L1349" s="498"/>
      <x:c r="M1349" s="498"/>
    </x:row>
    <x:row r="1350" ht="18" customHeight="1">
      <x:c r="A1350" s="498"/>
      <x:c r="B1350" s="498"/>
      <x:c r="C1350" s="498"/>
      <x:c r="D1350" s="498"/>
      <x:c r="E1350" s="498"/>
      <x:c r="F1350" s="498"/>
      <x:c r="G1350" s="498"/>
      <x:c r="H1350" s="498"/>
      <x:c r="I1350" s="498"/>
      <x:c r="J1350" s="498"/>
      <x:c r="K1350" s="498"/>
      <x:c r="L1350" s="498"/>
      <x:c r="M1350" s="498"/>
    </x:row>
    <x:row r="1351" ht="18" customHeight="1">
      <x:c r="A1351" s="498"/>
      <x:c r="B1351" s="498"/>
      <x:c r="C1351" s="498"/>
      <x:c r="D1351" s="498"/>
      <x:c r="E1351" s="498"/>
      <x:c r="F1351" s="498"/>
      <x:c r="G1351" s="498"/>
      <x:c r="H1351" s="498"/>
      <x:c r="I1351" s="498"/>
      <x:c r="J1351" s="498"/>
      <x:c r="K1351" s="498"/>
      <x:c r="L1351" s="498"/>
      <x:c r="M1351" s="498"/>
    </x:row>
    <x:row r="1352" ht="18" customHeight="1">
      <x:c r="A1352" s="498"/>
      <x:c r="B1352" s="498"/>
      <x:c r="C1352" s="498"/>
      <x:c r="D1352" s="498"/>
      <x:c r="E1352" s="498"/>
      <x:c r="F1352" s="498"/>
      <x:c r="G1352" s="498"/>
      <x:c r="H1352" s="498"/>
      <x:c r="I1352" s="498"/>
      <x:c r="J1352" s="498"/>
      <x:c r="K1352" s="498"/>
      <x:c r="L1352" s="498"/>
      <x:c r="M1352" s="498"/>
    </x:row>
    <x:row r="1353" ht="18" customHeight="1">
      <x:c r="A1353" s="498"/>
      <x:c r="B1353" s="498"/>
      <x:c r="C1353" s="498"/>
      <x:c r="D1353" s="498"/>
      <x:c r="E1353" s="498"/>
      <x:c r="F1353" s="498"/>
      <x:c r="G1353" s="498"/>
      <x:c r="H1353" s="498"/>
      <x:c r="I1353" s="498"/>
      <x:c r="J1353" s="498"/>
      <x:c r="K1353" s="498"/>
      <x:c r="L1353" s="498"/>
      <x:c r="M1353" s="498"/>
    </x:row>
    <x:row r="1354" ht="18" customHeight="1">
      <x:c r="A1354" s="498"/>
      <x:c r="B1354" s="498"/>
      <x:c r="C1354" s="498"/>
      <x:c r="D1354" s="498"/>
      <x:c r="E1354" s="498"/>
      <x:c r="F1354" s="498"/>
      <x:c r="G1354" s="498"/>
      <x:c r="H1354" s="498"/>
      <x:c r="I1354" s="498"/>
      <x:c r="J1354" s="498"/>
      <x:c r="K1354" s="498"/>
      <x:c r="L1354" s="498"/>
      <x:c r="M1354" s="498"/>
    </x:row>
    <x:row r="1355" ht="18" customHeight="1">
      <x:c r="A1355" s="498"/>
      <x:c r="B1355" s="498"/>
      <x:c r="C1355" s="498"/>
      <x:c r="D1355" s="498"/>
      <x:c r="E1355" s="498"/>
      <x:c r="F1355" s="498"/>
      <x:c r="G1355" s="498"/>
      <x:c r="H1355" s="498"/>
      <x:c r="I1355" s="498"/>
      <x:c r="J1355" s="498"/>
      <x:c r="K1355" s="498"/>
      <x:c r="L1355" s="498"/>
      <x:c r="M1355" s="498"/>
    </x:row>
    <x:row r="1356" ht="18" customHeight="1">
      <x:c r="A1356" s="498"/>
      <x:c r="B1356" s="498"/>
      <x:c r="C1356" s="498"/>
      <x:c r="D1356" s="498"/>
      <x:c r="E1356" s="498"/>
      <x:c r="F1356" s="498"/>
      <x:c r="G1356" s="498"/>
      <x:c r="H1356" s="498"/>
      <x:c r="I1356" s="498"/>
      <x:c r="J1356" s="498"/>
      <x:c r="K1356" s="498"/>
      <x:c r="L1356" s="498"/>
      <x:c r="M1356" s="498"/>
    </x:row>
    <x:row r="1357" ht="18" customHeight="1">
      <x:c r="A1357" s="498"/>
      <x:c r="B1357" s="498"/>
      <x:c r="C1357" s="498"/>
      <x:c r="D1357" s="498"/>
      <x:c r="E1357" s="498"/>
      <x:c r="F1357" s="498"/>
      <x:c r="G1357" s="498"/>
      <x:c r="H1357" s="498"/>
      <x:c r="I1357" s="498"/>
      <x:c r="J1357" s="498"/>
      <x:c r="K1357" s="498"/>
      <x:c r="L1357" s="498"/>
      <x:c r="M1357" s="498"/>
    </x:row>
    <x:row r="1358" ht="18" customHeight="1">
      <x:c r="A1358" s="498"/>
      <x:c r="B1358" s="498"/>
      <x:c r="C1358" s="498"/>
      <x:c r="D1358" s="498"/>
      <x:c r="E1358" s="498"/>
      <x:c r="F1358" s="498"/>
      <x:c r="G1358" s="498"/>
      <x:c r="H1358" s="498"/>
      <x:c r="I1358" s="498"/>
      <x:c r="J1358" s="498"/>
      <x:c r="K1358" s="498"/>
      <x:c r="L1358" s="498"/>
      <x:c r="M1358" s="498"/>
    </x:row>
    <x:row r="1359" ht="18" customHeight="1">
      <x:c r="A1359" s="498"/>
      <x:c r="B1359" s="498"/>
      <x:c r="C1359" s="498"/>
      <x:c r="D1359" s="498"/>
      <x:c r="E1359" s="498"/>
      <x:c r="F1359" s="498"/>
      <x:c r="G1359" s="498"/>
      <x:c r="H1359" s="498"/>
      <x:c r="I1359" s="498"/>
      <x:c r="J1359" s="498"/>
      <x:c r="K1359" s="498"/>
      <x:c r="L1359" s="498"/>
      <x:c r="M1359" s="498"/>
    </x:row>
    <x:row r="1360" ht="18" customHeight="1">
      <x:c r="A1360" s="498"/>
      <x:c r="B1360" s="498"/>
      <x:c r="C1360" s="498"/>
      <x:c r="D1360" s="498"/>
      <x:c r="E1360" s="498"/>
      <x:c r="F1360" s="498"/>
      <x:c r="G1360" s="498"/>
      <x:c r="H1360" s="498"/>
      <x:c r="I1360" s="498"/>
      <x:c r="J1360" s="498"/>
      <x:c r="K1360" s="498"/>
      <x:c r="L1360" s="498"/>
      <x:c r="M1360" s="498"/>
    </x:row>
    <x:row r="1361" ht="18" customHeight="1">
      <x:c r="A1361" s="498"/>
      <x:c r="B1361" s="498"/>
      <x:c r="C1361" s="498"/>
      <x:c r="D1361" s="498"/>
      <x:c r="E1361" s="498"/>
      <x:c r="F1361" s="498"/>
      <x:c r="G1361" s="498"/>
      <x:c r="H1361" s="498"/>
      <x:c r="I1361" s="498"/>
      <x:c r="J1361" s="498"/>
      <x:c r="K1361" s="498"/>
      <x:c r="L1361" s="498"/>
      <x:c r="M1361" s="498"/>
    </x:row>
    <x:row r="1362" ht="18" customHeight="1">
      <x:c r="A1362" s="498"/>
      <x:c r="B1362" s="498"/>
      <x:c r="C1362" s="498"/>
      <x:c r="D1362" s="498"/>
      <x:c r="E1362" s="498"/>
      <x:c r="F1362" s="498"/>
      <x:c r="G1362" s="498"/>
      <x:c r="H1362" s="498"/>
      <x:c r="I1362" s="498"/>
      <x:c r="J1362" s="498"/>
      <x:c r="K1362" s="498"/>
      <x:c r="L1362" s="498"/>
      <x:c r="M1362" s="498"/>
    </x:row>
    <x:row r="1363" ht="18" customHeight="1">
      <x:c r="A1363" s="498"/>
      <x:c r="B1363" s="498"/>
      <x:c r="C1363" s="498"/>
      <x:c r="D1363" s="498"/>
      <x:c r="E1363" s="498"/>
      <x:c r="F1363" s="498"/>
      <x:c r="G1363" s="498"/>
      <x:c r="H1363" s="498"/>
      <x:c r="I1363" s="498"/>
      <x:c r="J1363" s="498"/>
      <x:c r="K1363" s="498"/>
      <x:c r="L1363" s="498"/>
      <x:c r="M1363" s="498"/>
    </x:row>
    <x:row r="1364" ht="18" customHeight="1">
      <x:c r="A1364" s="498"/>
      <x:c r="B1364" s="498"/>
      <x:c r="C1364" s="498"/>
      <x:c r="D1364" s="498"/>
      <x:c r="E1364" s="498"/>
      <x:c r="F1364" s="498"/>
      <x:c r="G1364" s="498"/>
      <x:c r="H1364" s="498"/>
      <x:c r="I1364" s="498"/>
      <x:c r="J1364" s="498"/>
      <x:c r="K1364" s="498"/>
      <x:c r="L1364" s="498"/>
      <x:c r="M1364" s="498"/>
    </x:row>
    <x:row r="1365" ht="18" customHeight="1">
      <x:c r="A1365" s="498"/>
      <x:c r="B1365" s="498"/>
      <x:c r="C1365" s="498"/>
      <x:c r="D1365" s="498"/>
      <x:c r="E1365" s="498"/>
      <x:c r="F1365" s="498"/>
      <x:c r="G1365" s="498"/>
      <x:c r="H1365" s="498"/>
      <x:c r="I1365" s="498"/>
      <x:c r="J1365" s="498"/>
      <x:c r="K1365" s="498"/>
      <x:c r="L1365" s="498"/>
      <x:c r="M1365" s="498"/>
    </x:row>
    <x:row r="1366" ht="18" customHeight="1">
      <x:c r="A1366" s="498"/>
      <x:c r="B1366" s="498"/>
      <x:c r="C1366" s="498"/>
      <x:c r="D1366" s="498"/>
      <x:c r="E1366" s="498"/>
      <x:c r="F1366" s="498"/>
      <x:c r="G1366" s="498"/>
      <x:c r="H1366" s="498"/>
      <x:c r="I1366" s="498"/>
      <x:c r="J1366" s="498"/>
      <x:c r="K1366" s="498"/>
      <x:c r="L1366" s="498"/>
      <x:c r="M1366" s="498"/>
    </x:row>
    <x:row r="1367" ht="18" customHeight="1">
      <x:c r="A1367" s="498"/>
      <x:c r="B1367" s="498"/>
      <x:c r="C1367" s="498"/>
      <x:c r="D1367" s="498"/>
      <x:c r="E1367" s="498"/>
      <x:c r="F1367" s="498"/>
      <x:c r="G1367" s="498"/>
      <x:c r="H1367" s="498"/>
      <x:c r="I1367" s="498"/>
      <x:c r="J1367" s="498"/>
      <x:c r="K1367" s="498"/>
      <x:c r="L1367" s="498"/>
      <x:c r="M1367" s="498"/>
    </x:row>
    <x:row r="1368" ht="18" customHeight="1">
      <x:c r="A1368" s="498"/>
      <x:c r="B1368" s="498"/>
      <x:c r="C1368" s="498"/>
      <x:c r="D1368" s="498"/>
      <x:c r="E1368" s="498"/>
      <x:c r="F1368" s="498"/>
      <x:c r="G1368" s="498"/>
      <x:c r="H1368" s="498"/>
      <x:c r="I1368" s="498"/>
      <x:c r="J1368" s="498"/>
      <x:c r="K1368" s="498"/>
      <x:c r="L1368" s="498"/>
      <x:c r="M1368" s="498"/>
    </x:row>
    <x:row r="1369" ht="18" customHeight="1">
      <x:c r="A1369" s="498"/>
      <x:c r="B1369" s="498"/>
      <x:c r="C1369" s="498"/>
      <x:c r="D1369" s="498"/>
      <x:c r="E1369" s="498"/>
      <x:c r="F1369" s="498"/>
      <x:c r="G1369" s="498"/>
      <x:c r="H1369" s="498"/>
      <x:c r="I1369" s="498"/>
      <x:c r="J1369" s="498"/>
      <x:c r="K1369" s="498"/>
      <x:c r="L1369" s="498"/>
      <x:c r="M1369" s="498"/>
    </x:row>
    <x:row r="1370" ht="18" customHeight="1">
      <x:c r="A1370" s="498"/>
      <x:c r="B1370" s="498"/>
      <x:c r="C1370" s="498"/>
      <x:c r="D1370" s="498"/>
      <x:c r="E1370" s="498"/>
      <x:c r="F1370" s="498"/>
      <x:c r="G1370" s="498"/>
      <x:c r="H1370" s="498"/>
      <x:c r="I1370" s="498"/>
      <x:c r="J1370" s="498"/>
      <x:c r="K1370" s="498"/>
      <x:c r="L1370" s="498"/>
      <x:c r="M1370" s="498"/>
    </x:row>
    <x:row r="1371" ht="18" customHeight="1">
      <x:c r="A1371" s="498"/>
      <x:c r="B1371" s="498"/>
      <x:c r="C1371" s="498"/>
      <x:c r="D1371" s="498"/>
      <x:c r="E1371" s="498"/>
      <x:c r="F1371" s="498"/>
      <x:c r="G1371" s="498"/>
      <x:c r="H1371" s="498"/>
      <x:c r="I1371" s="498"/>
      <x:c r="J1371" s="498"/>
      <x:c r="K1371" s="498"/>
      <x:c r="L1371" s="498"/>
      <x:c r="M1371" s="498"/>
    </x:row>
    <x:row r="1372" ht="18" customHeight="1">
      <x:c r="A1372" s="498"/>
      <x:c r="B1372" s="498"/>
      <x:c r="C1372" s="498"/>
      <x:c r="D1372" s="498"/>
      <x:c r="E1372" s="498"/>
      <x:c r="F1372" s="498"/>
      <x:c r="G1372" s="498"/>
      <x:c r="H1372" s="498"/>
      <x:c r="I1372" s="498"/>
      <x:c r="J1372" s="498"/>
      <x:c r="K1372" s="498"/>
      <x:c r="L1372" s="498"/>
      <x:c r="M1372" s="498"/>
    </x:row>
    <x:row r="1373" ht="18" customHeight="1">
      <x:c r="A1373" s="498"/>
      <x:c r="B1373" s="498"/>
      <x:c r="C1373" s="498"/>
      <x:c r="D1373" s="498"/>
      <x:c r="E1373" s="498"/>
      <x:c r="F1373" s="498"/>
      <x:c r="G1373" s="498"/>
      <x:c r="H1373" s="498"/>
      <x:c r="I1373" s="498"/>
      <x:c r="J1373" s="498"/>
      <x:c r="K1373" s="498"/>
      <x:c r="L1373" s="498"/>
      <x:c r="M1373" s="498"/>
    </x:row>
    <x:row r="1374" ht="18" customHeight="1">
      <x:c r="A1374" s="498"/>
      <x:c r="B1374" s="498"/>
      <x:c r="C1374" s="498"/>
      <x:c r="D1374" s="498"/>
      <x:c r="E1374" s="498"/>
      <x:c r="F1374" s="498"/>
      <x:c r="G1374" s="498"/>
      <x:c r="H1374" s="498"/>
      <x:c r="I1374" s="498"/>
      <x:c r="J1374" s="498"/>
      <x:c r="K1374" s="498"/>
      <x:c r="L1374" s="498"/>
      <x:c r="M1374" s="498"/>
    </x:row>
    <x:row r="1375" ht="18" customHeight="1">
      <x:c r="A1375" s="498"/>
      <x:c r="B1375" s="498"/>
      <x:c r="C1375" s="498"/>
      <x:c r="D1375" s="498"/>
      <x:c r="E1375" s="498"/>
      <x:c r="F1375" s="498"/>
      <x:c r="G1375" s="498"/>
      <x:c r="H1375" s="498"/>
      <x:c r="I1375" s="498"/>
      <x:c r="J1375" s="498"/>
      <x:c r="K1375" s="498"/>
      <x:c r="L1375" s="498"/>
      <x:c r="M1375" s="498"/>
    </x:row>
    <x:row r="1376" ht="18" customHeight="1">
      <x:c r="A1376" s="498"/>
      <x:c r="B1376" s="498"/>
      <x:c r="C1376" s="498"/>
      <x:c r="D1376" s="498"/>
      <x:c r="E1376" s="498"/>
      <x:c r="F1376" s="498"/>
      <x:c r="G1376" s="498"/>
      <x:c r="H1376" s="498"/>
      <x:c r="I1376" s="498"/>
      <x:c r="J1376" s="498"/>
      <x:c r="K1376" s="498"/>
      <x:c r="L1376" s="498"/>
      <x:c r="M1376" s="498"/>
    </x:row>
    <x:row r="1377" ht="18" customHeight="1">
      <x:c r="A1377" s="498"/>
      <x:c r="B1377" s="498"/>
      <x:c r="C1377" s="498"/>
      <x:c r="D1377" s="498"/>
      <x:c r="E1377" s="498"/>
      <x:c r="F1377" s="498"/>
      <x:c r="G1377" s="498"/>
      <x:c r="H1377" s="498"/>
      <x:c r="I1377" s="498"/>
      <x:c r="J1377" s="498"/>
      <x:c r="K1377" s="498"/>
      <x:c r="L1377" s="498"/>
      <x:c r="M1377" s="498"/>
    </x:row>
    <x:row r="1378" ht="18" customHeight="1">
      <x:c r="A1378" s="498"/>
      <x:c r="B1378" s="498"/>
      <x:c r="C1378" s="498"/>
      <x:c r="D1378" s="498"/>
      <x:c r="E1378" s="498"/>
      <x:c r="F1378" s="498"/>
      <x:c r="G1378" s="498"/>
      <x:c r="H1378" s="498"/>
      <x:c r="I1378" s="498"/>
      <x:c r="J1378" s="498"/>
      <x:c r="K1378" s="498"/>
      <x:c r="L1378" s="498"/>
      <x:c r="M1378" s="498"/>
    </x:row>
    <x:row r="1379" ht="18" customHeight="1">
      <x:c r="A1379" s="498"/>
      <x:c r="B1379" s="498"/>
      <x:c r="C1379" s="498"/>
      <x:c r="D1379" s="498"/>
      <x:c r="E1379" s="498"/>
      <x:c r="F1379" s="498"/>
      <x:c r="G1379" s="498"/>
      <x:c r="H1379" s="498"/>
      <x:c r="I1379" s="498"/>
      <x:c r="J1379" s="498"/>
      <x:c r="K1379" s="498"/>
      <x:c r="L1379" s="498"/>
      <x:c r="M1379" s="498"/>
    </x:row>
    <x:row r="1380" ht="18" customHeight="1">
      <x:c r="A1380" s="498"/>
      <x:c r="B1380" s="498"/>
      <x:c r="C1380" s="498"/>
      <x:c r="D1380" s="498"/>
      <x:c r="E1380" s="498"/>
      <x:c r="F1380" s="498"/>
      <x:c r="G1380" s="498"/>
      <x:c r="H1380" s="498"/>
      <x:c r="I1380" s="498"/>
      <x:c r="J1380" s="498"/>
      <x:c r="K1380" s="498"/>
      <x:c r="L1380" s="498"/>
      <x:c r="M1380" s="498"/>
    </x:row>
    <x:row r="1381" ht="18" customHeight="1">
      <x:c r="A1381" s="498"/>
      <x:c r="B1381" s="498"/>
      <x:c r="C1381" s="498"/>
      <x:c r="D1381" s="498"/>
      <x:c r="E1381" s="498"/>
      <x:c r="F1381" s="498"/>
      <x:c r="G1381" s="498"/>
      <x:c r="H1381" s="498"/>
      <x:c r="I1381" s="498"/>
      <x:c r="J1381" s="498"/>
      <x:c r="K1381" s="498"/>
      <x:c r="L1381" s="498"/>
      <x:c r="M1381" s="498"/>
    </x:row>
    <x:row r="1382" ht="18" customHeight="1">
      <x:c r="A1382" s="498"/>
      <x:c r="B1382" s="498"/>
      <x:c r="C1382" s="498"/>
      <x:c r="D1382" s="498"/>
      <x:c r="E1382" s="498"/>
      <x:c r="F1382" s="498"/>
      <x:c r="G1382" s="498"/>
      <x:c r="H1382" s="498"/>
      <x:c r="I1382" s="498"/>
      <x:c r="J1382" s="498"/>
      <x:c r="K1382" s="498"/>
      <x:c r="L1382" s="498"/>
      <x:c r="M1382" s="498"/>
    </x:row>
    <x:row r="1383" ht="18" customHeight="1">
      <x:c r="A1383" s="498"/>
      <x:c r="B1383" s="498"/>
      <x:c r="C1383" s="498"/>
      <x:c r="D1383" s="498"/>
      <x:c r="E1383" s="498"/>
      <x:c r="F1383" s="498"/>
      <x:c r="G1383" s="498"/>
      <x:c r="H1383" s="498"/>
      <x:c r="I1383" s="498"/>
      <x:c r="J1383" s="498"/>
      <x:c r="K1383" s="498"/>
      <x:c r="L1383" s="498"/>
      <x:c r="M1383" s="498"/>
    </x:row>
    <x:row r="1384" ht="18" customHeight="1">
      <x:c r="A1384" s="498"/>
      <x:c r="B1384" s="498"/>
      <x:c r="C1384" s="498"/>
      <x:c r="D1384" s="498"/>
      <x:c r="E1384" s="498"/>
      <x:c r="F1384" s="498"/>
      <x:c r="G1384" s="498"/>
      <x:c r="H1384" s="498"/>
      <x:c r="I1384" s="498"/>
      <x:c r="J1384" s="498"/>
      <x:c r="K1384" s="498"/>
      <x:c r="L1384" s="498"/>
      <x:c r="M1384" s="498"/>
    </x:row>
    <x:row r="1385" ht="18" customHeight="1">
      <x:c r="A1385" s="498"/>
      <x:c r="B1385" s="498"/>
      <x:c r="C1385" s="498"/>
      <x:c r="D1385" s="498"/>
      <x:c r="E1385" s="498"/>
      <x:c r="F1385" s="498"/>
      <x:c r="G1385" s="498"/>
      <x:c r="H1385" s="498"/>
      <x:c r="I1385" s="498"/>
      <x:c r="J1385" s="498"/>
      <x:c r="K1385" s="498"/>
      <x:c r="L1385" s="498"/>
      <x:c r="M1385" s="498"/>
    </x:row>
    <x:row r="1386" ht="18" customHeight="1">
      <x:c r="A1386" s="498"/>
      <x:c r="B1386" s="498"/>
      <x:c r="C1386" s="498"/>
      <x:c r="D1386" s="498"/>
      <x:c r="E1386" s="498"/>
      <x:c r="F1386" s="498"/>
      <x:c r="G1386" s="498"/>
      <x:c r="H1386" s="498"/>
      <x:c r="I1386" s="498"/>
      <x:c r="J1386" s="498"/>
      <x:c r="K1386" s="498"/>
      <x:c r="L1386" s="498"/>
      <x:c r="M1386" s="498"/>
    </x:row>
    <x:row r="1387" ht="18" customHeight="1">
      <x:c r="A1387" s="498"/>
      <x:c r="B1387" s="498"/>
      <x:c r="C1387" s="498"/>
      <x:c r="D1387" s="498"/>
      <x:c r="E1387" s="498"/>
      <x:c r="F1387" s="498"/>
      <x:c r="G1387" s="498"/>
      <x:c r="H1387" s="498"/>
      <x:c r="I1387" s="498"/>
      <x:c r="J1387" s="498"/>
      <x:c r="K1387" s="498"/>
      <x:c r="L1387" s="498"/>
      <x:c r="M1387" s="498"/>
    </x:row>
    <x:row r="1388" ht="18" customHeight="1">
      <x:c r="A1388" s="498"/>
      <x:c r="B1388" s="498"/>
      <x:c r="C1388" s="498"/>
      <x:c r="D1388" s="498"/>
      <x:c r="E1388" s="498"/>
      <x:c r="F1388" s="498"/>
      <x:c r="G1388" s="498"/>
      <x:c r="H1388" s="498"/>
      <x:c r="I1388" s="498"/>
      <x:c r="J1388" s="498"/>
      <x:c r="K1388" s="498"/>
      <x:c r="L1388" s="498"/>
      <x:c r="M1388" s="498"/>
    </x:row>
    <x:row r="1389" ht="18" customHeight="1">
      <x:c r="A1389" s="498"/>
      <x:c r="B1389" s="498"/>
      <x:c r="C1389" s="498"/>
      <x:c r="D1389" s="498"/>
      <x:c r="E1389" s="498"/>
      <x:c r="F1389" s="498"/>
      <x:c r="G1389" s="498"/>
      <x:c r="H1389" s="498"/>
      <x:c r="I1389" s="498"/>
      <x:c r="J1389" s="498"/>
      <x:c r="K1389" s="498"/>
      <x:c r="L1389" s="498"/>
      <x:c r="M1389" s="498"/>
    </x:row>
    <x:row r="1390" ht="18" customHeight="1">
      <x:c r="A1390" s="498"/>
      <x:c r="B1390" s="498"/>
      <x:c r="C1390" s="498"/>
      <x:c r="D1390" s="498"/>
      <x:c r="E1390" s="498"/>
      <x:c r="F1390" s="498"/>
      <x:c r="G1390" s="498"/>
      <x:c r="H1390" s="498"/>
      <x:c r="I1390" s="498"/>
      <x:c r="J1390" s="498"/>
      <x:c r="K1390" s="498"/>
      <x:c r="L1390" s="498"/>
      <x:c r="M1390" s="498"/>
    </x:row>
    <x:row r="1391" ht="18" customHeight="1">
      <x:c r="A1391" s="498"/>
      <x:c r="B1391" s="498"/>
      <x:c r="C1391" s="498"/>
      <x:c r="D1391" s="498"/>
      <x:c r="E1391" s="498"/>
      <x:c r="F1391" s="498"/>
      <x:c r="G1391" s="498"/>
      <x:c r="H1391" s="498"/>
      <x:c r="I1391" s="498"/>
      <x:c r="J1391" s="498"/>
      <x:c r="K1391" s="498"/>
      <x:c r="L1391" s="498"/>
      <x:c r="M1391" s="498"/>
    </x:row>
    <x:row r="1392" ht="18" customHeight="1">
      <x:c r="A1392" s="498"/>
      <x:c r="B1392" s="498"/>
      <x:c r="C1392" s="498"/>
      <x:c r="D1392" s="498"/>
      <x:c r="E1392" s="498"/>
      <x:c r="F1392" s="498"/>
      <x:c r="G1392" s="498"/>
      <x:c r="H1392" s="498"/>
      <x:c r="I1392" s="498"/>
      <x:c r="J1392" s="498"/>
      <x:c r="K1392" s="498"/>
      <x:c r="L1392" s="498"/>
      <x:c r="M1392" s="498"/>
    </x:row>
    <x:row r="1393" ht="18" customHeight="1">
      <x:c r="A1393" s="498"/>
      <x:c r="B1393" s="498"/>
      <x:c r="C1393" s="498"/>
      <x:c r="D1393" s="498"/>
      <x:c r="E1393" s="498"/>
      <x:c r="F1393" s="498"/>
      <x:c r="G1393" s="498"/>
      <x:c r="H1393" s="498"/>
      <x:c r="I1393" s="498"/>
      <x:c r="J1393" s="498"/>
      <x:c r="K1393" s="498"/>
      <x:c r="L1393" s="498"/>
      <x:c r="M1393" s="498"/>
    </x:row>
    <x:row r="1394" ht="18" customHeight="1">
      <x:c r="A1394" s="498"/>
      <x:c r="B1394" s="498"/>
      <x:c r="C1394" s="498"/>
      <x:c r="D1394" s="498"/>
      <x:c r="E1394" s="498"/>
      <x:c r="F1394" s="498"/>
      <x:c r="G1394" s="498"/>
      <x:c r="H1394" s="498"/>
      <x:c r="I1394" s="498"/>
      <x:c r="J1394" s="498"/>
      <x:c r="K1394" s="498"/>
      <x:c r="L1394" s="498"/>
      <x:c r="M1394" s="498"/>
    </x:row>
    <x:row r="1395" ht="18" customHeight="1">
      <x:c r="A1395" s="498"/>
      <x:c r="B1395" s="498"/>
      <x:c r="C1395" s="498"/>
      <x:c r="D1395" s="498"/>
      <x:c r="E1395" s="498"/>
      <x:c r="F1395" s="498"/>
      <x:c r="G1395" s="498"/>
      <x:c r="H1395" s="498"/>
      <x:c r="I1395" s="498"/>
      <x:c r="J1395" s="498"/>
      <x:c r="K1395" s="498"/>
      <x:c r="L1395" s="498"/>
      <x:c r="M1395" s="498"/>
    </x:row>
    <x:row r="1396" ht="18" customHeight="1">
      <x:c r="A1396" s="498"/>
      <x:c r="B1396" s="498"/>
      <x:c r="C1396" s="498"/>
      <x:c r="D1396" s="498"/>
      <x:c r="E1396" s="498"/>
      <x:c r="F1396" s="498"/>
      <x:c r="G1396" s="498"/>
      <x:c r="H1396" s="498"/>
      <x:c r="I1396" s="498"/>
      <x:c r="J1396" s="498"/>
      <x:c r="K1396" s="498"/>
      <x:c r="L1396" s="498"/>
      <x:c r="M1396" s="498"/>
    </x:row>
    <x:row r="1397" ht="18" customHeight="1">
      <x:c r="A1397" s="498"/>
      <x:c r="B1397" s="498"/>
      <x:c r="C1397" s="498"/>
      <x:c r="D1397" s="498"/>
      <x:c r="E1397" s="498"/>
      <x:c r="F1397" s="498"/>
      <x:c r="G1397" s="498"/>
      <x:c r="H1397" s="498"/>
      <x:c r="I1397" s="498"/>
      <x:c r="J1397" s="498"/>
      <x:c r="K1397" s="498"/>
      <x:c r="L1397" s="498"/>
      <x:c r="M1397" s="498"/>
    </x:row>
    <x:row r="1398" ht="18" customHeight="1">
      <x:c r="A1398" s="498"/>
      <x:c r="B1398" s="498"/>
      <x:c r="C1398" s="498"/>
      <x:c r="D1398" s="498"/>
      <x:c r="E1398" s="498"/>
      <x:c r="F1398" s="498"/>
      <x:c r="G1398" s="498"/>
      <x:c r="H1398" s="498"/>
      <x:c r="I1398" s="498"/>
      <x:c r="J1398" s="498"/>
      <x:c r="K1398" s="498"/>
      <x:c r="L1398" s="498"/>
      <x:c r="M1398" s="498"/>
    </x:row>
    <x:row r="1399" ht="18" customHeight="1">
      <x:c r="A1399" s="498"/>
      <x:c r="B1399" s="498"/>
      <x:c r="C1399" s="498"/>
      <x:c r="D1399" s="498"/>
      <x:c r="E1399" s="498"/>
      <x:c r="F1399" s="498"/>
      <x:c r="G1399" s="498"/>
      <x:c r="H1399" s="498"/>
      <x:c r="I1399" s="498"/>
      <x:c r="J1399" s="498"/>
      <x:c r="K1399" s="498"/>
      <x:c r="L1399" s="498"/>
      <x:c r="M1399" s="498"/>
    </x:row>
    <x:row r="1400" ht="18" customHeight="1">
      <x:c r="A1400" s="498"/>
      <x:c r="B1400" s="498"/>
      <x:c r="C1400" s="498"/>
      <x:c r="D1400" s="498"/>
      <x:c r="E1400" s="498"/>
      <x:c r="F1400" s="498"/>
      <x:c r="G1400" s="498"/>
      <x:c r="H1400" s="498"/>
      <x:c r="I1400" s="498"/>
      <x:c r="J1400" s="498"/>
      <x:c r="K1400" s="498"/>
      <x:c r="L1400" s="498"/>
      <x:c r="M1400" s="498"/>
    </x:row>
    <x:row r="1401" ht="18" customHeight="1">
      <x:c r="A1401" s="498"/>
      <x:c r="B1401" s="498"/>
      <x:c r="C1401" s="498"/>
      <x:c r="D1401" s="498"/>
      <x:c r="E1401" s="498"/>
      <x:c r="F1401" s="498"/>
      <x:c r="G1401" s="498"/>
      <x:c r="H1401" s="498"/>
      <x:c r="I1401" s="498"/>
      <x:c r="J1401" s="498"/>
      <x:c r="K1401" s="498"/>
      <x:c r="L1401" s="498"/>
      <x:c r="M1401" s="498"/>
    </x:row>
    <x:row r="1402" ht="18" customHeight="1">
      <x:c r="A1402" s="498"/>
      <x:c r="B1402" s="498"/>
      <x:c r="C1402" s="498"/>
      <x:c r="D1402" s="498"/>
      <x:c r="E1402" s="498"/>
      <x:c r="F1402" s="498"/>
      <x:c r="G1402" s="498"/>
      <x:c r="H1402" s="498"/>
      <x:c r="I1402" s="498"/>
      <x:c r="J1402" s="498"/>
      <x:c r="K1402" s="498"/>
      <x:c r="L1402" s="498"/>
      <x:c r="M1402" s="498"/>
    </x:row>
    <x:row r="1403" ht="18" customHeight="1">
      <x:c r="A1403" s="498"/>
      <x:c r="B1403" s="498"/>
      <x:c r="C1403" s="498"/>
      <x:c r="D1403" s="498"/>
      <x:c r="E1403" s="498"/>
      <x:c r="F1403" s="498"/>
      <x:c r="G1403" s="498"/>
      <x:c r="H1403" s="498"/>
      <x:c r="I1403" s="498"/>
      <x:c r="J1403" s="498"/>
      <x:c r="K1403" s="498"/>
      <x:c r="L1403" s="498"/>
      <x:c r="M1403" s="498"/>
    </x:row>
    <x:row r="1404" ht="18" customHeight="1">
      <x:c r="A1404" s="498"/>
      <x:c r="B1404" s="498"/>
      <x:c r="C1404" s="498"/>
      <x:c r="D1404" s="498"/>
      <x:c r="E1404" s="498"/>
      <x:c r="F1404" s="498"/>
      <x:c r="G1404" s="498"/>
      <x:c r="H1404" s="498"/>
      <x:c r="I1404" s="498"/>
      <x:c r="J1404" s="498"/>
      <x:c r="K1404" s="498"/>
      <x:c r="L1404" s="498"/>
      <x:c r="M1404" s="498"/>
    </x:row>
    <x:row r="1405" ht="18" customHeight="1">
      <x:c r="A1405" s="498"/>
      <x:c r="B1405" s="498"/>
      <x:c r="C1405" s="498"/>
      <x:c r="D1405" s="498"/>
      <x:c r="E1405" s="498"/>
      <x:c r="F1405" s="498"/>
      <x:c r="G1405" s="498"/>
      <x:c r="H1405" s="498"/>
      <x:c r="I1405" s="498"/>
      <x:c r="J1405" s="498"/>
      <x:c r="K1405" s="498"/>
      <x:c r="L1405" s="498"/>
      <x:c r="M1405" s="498"/>
    </x:row>
    <x:row r="1406" ht="18" customHeight="1">
      <x:c r="A1406" s="498"/>
      <x:c r="B1406" s="498"/>
      <x:c r="C1406" s="498"/>
      <x:c r="D1406" s="498"/>
      <x:c r="E1406" s="498"/>
      <x:c r="F1406" s="498"/>
      <x:c r="G1406" s="498"/>
      <x:c r="H1406" s="498"/>
      <x:c r="I1406" s="498"/>
      <x:c r="J1406" s="498"/>
      <x:c r="K1406" s="498"/>
      <x:c r="L1406" s="498"/>
      <x:c r="M1406" s="498"/>
    </x:row>
    <x:row r="1407" ht="18" customHeight="1">
      <x:c r="A1407" s="498"/>
      <x:c r="B1407" s="498"/>
      <x:c r="C1407" s="498"/>
      <x:c r="D1407" s="498"/>
      <x:c r="E1407" s="498"/>
      <x:c r="F1407" s="498"/>
      <x:c r="G1407" s="498"/>
      <x:c r="H1407" s="498"/>
      <x:c r="I1407" s="498"/>
      <x:c r="J1407" s="498"/>
      <x:c r="K1407" s="498"/>
      <x:c r="L1407" s="498"/>
      <x:c r="M1407" s="498"/>
    </x:row>
    <x:row r="1408" ht="18" customHeight="1">
      <x:c r="A1408" s="498"/>
      <x:c r="B1408" s="498"/>
      <x:c r="C1408" s="498"/>
      <x:c r="D1408" s="498"/>
      <x:c r="E1408" s="498"/>
      <x:c r="F1408" s="498"/>
      <x:c r="G1408" s="498"/>
      <x:c r="H1408" s="498"/>
      <x:c r="I1408" s="498"/>
      <x:c r="J1408" s="498"/>
      <x:c r="K1408" s="498"/>
      <x:c r="L1408" s="498"/>
      <x:c r="M1408" s="498"/>
    </x:row>
    <x:row r="1409" ht="18" customHeight="1">
      <x:c r="A1409" s="498"/>
      <x:c r="B1409" s="498"/>
      <x:c r="C1409" s="498"/>
      <x:c r="D1409" s="498"/>
      <x:c r="E1409" s="498"/>
      <x:c r="F1409" s="498"/>
      <x:c r="G1409" s="498"/>
      <x:c r="H1409" s="498"/>
      <x:c r="I1409" s="498"/>
      <x:c r="J1409" s="498"/>
      <x:c r="K1409" s="498"/>
      <x:c r="L1409" s="498"/>
      <x:c r="M1409" s="498"/>
    </x:row>
    <x:row r="1410" ht="18" customHeight="1">
      <x:c r="A1410" s="498"/>
      <x:c r="B1410" s="498"/>
      <x:c r="C1410" s="498"/>
      <x:c r="D1410" s="498"/>
      <x:c r="E1410" s="498"/>
      <x:c r="F1410" s="498"/>
      <x:c r="G1410" s="498"/>
      <x:c r="H1410" s="498"/>
      <x:c r="I1410" s="498"/>
      <x:c r="J1410" s="498"/>
      <x:c r="K1410" s="498"/>
      <x:c r="L1410" s="498"/>
      <x:c r="M1410" s="498"/>
    </x:row>
    <x:row r="1411" ht="18" customHeight="1">
      <x:c r="A1411" s="498"/>
      <x:c r="B1411" s="498"/>
      <x:c r="C1411" s="498"/>
      <x:c r="D1411" s="498"/>
      <x:c r="E1411" s="498"/>
      <x:c r="F1411" s="498"/>
      <x:c r="G1411" s="498"/>
      <x:c r="H1411" s="498"/>
      <x:c r="I1411" s="498"/>
      <x:c r="J1411" s="498"/>
      <x:c r="K1411" s="498"/>
      <x:c r="L1411" s="498"/>
      <x:c r="M1411" s="498"/>
    </x:row>
    <x:row r="1412" ht="18" customHeight="1">
      <x:c r="A1412" s="498"/>
      <x:c r="B1412" s="498"/>
      <x:c r="C1412" s="498"/>
      <x:c r="D1412" s="498"/>
      <x:c r="E1412" s="498"/>
      <x:c r="F1412" s="498"/>
      <x:c r="G1412" s="498"/>
      <x:c r="H1412" s="498"/>
      <x:c r="I1412" s="498"/>
      <x:c r="J1412" s="498"/>
      <x:c r="K1412" s="498"/>
      <x:c r="L1412" s="498"/>
      <x:c r="M1412" s="498"/>
    </x:row>
    <x:row r="1413" ht="18" customHeight="1">
      <x:c r="A1413" s="498"/>
      <x:c r="B1413" s="498"/>
      <x:c r="C1413" s="498"/>
      <x:c r="D1413" s="498"/>
      <x:c r="E1413" s="498"/>
      <x:c r="F1413" s="498"/>
      <x:c r="G1413" s="498"/>
      <x:c r="H1413" s="498"/>
      <x:c r="I1413" s="498"/>
      <x:c r="J1413" s="498"/>
      <x:c r="K1413" s="498"/>
      <x:c r="L1413" s="498"/>
      <x:c r="M1413" s="498"/>
    </x:row>
    <x:row r="1414" ht="18" customHeight="1">
      <x:c r="A1414" s="498"/>
      <x:c r="B1414" s="498"/>
      <x:c r="C1414" s="498"/>
      <x:c r="D1414" s="498"/>
      <x:c r="E1414" s="498"/>
      <x:c r="F1414" s="498"/>
      <x:c r="G1414" s="498"/>
      <x:c r="H1414" s="498"/>
      <x:c r="I1414" s="498"/>
      <x:c r="J1414" s="498"/>
      <x:c r="K1414" s="498"/>
      <x:c r="L1414" s="498"/>
      <x:c r="M1414" s="498"/>
    </x:row>
    <x:row r="1415" ht="18" customHeight="1">
      <x:c r="A1415" s="498"/>
      <x:c r="B1415" s="498"/>
      <x:c r="C1415" s="498"/>
      <x:c r="D1415" s="498"/>
      <x:c r="E1415" s="498"/>
      <x:c r="F1415" s="498"/>
      <x:c r="G1415" s="498"/>
      <x:c r="H1415" s="498"/>
      <x:c r="I1415" s="498"/>
      <x:c r="J1415" s="498"/>
      <x:c r="K1415" s="498"/>
      <x:c r="L1415" s="498"/>
      <x:c r="M1415" s="498"/>
    </x:row>
    <x:row r="1416" ht="18" customHeight="1">
      <x:c r="A1416" s="498"/>
      <x:c r="B1416" s="498"/>
      <x:c r="C1416" s="498"/>
      <x:c r="D1416" s="498"/>
      <x:c r="E1416" s="498"/>
      <x:c r="F1416" s="498"/>
      <x:c r="G1416" s="498"/>
      <x:c r="H1416" s="498"/>
      <x:c r="I1416" s="498"/>
      <x:c r="J1416" s="498"/>
      <x:c r="K1416" s="498"/>
      <x:c r="L1416" s="498"/>
      <x:c r="M1416" s="498"/>
    </x:row>
    <x:row r="1417" ht="18" customHeight="1">
      <x:c r="A1417" s="498"/>
      <x:c r="B1417" s="498"/>
      <x:c r="C1417" s="498"/>
      <x:c r="D1417" s="498"/>
      <x:c r="E1417" s="498"/>
      <x:c r="F1417" s="498"/>
      <x:c r="G1417" s="498"/>
      <x:c r="H1417" s="498"/>
      <x:c r="I1417" s="498"/>
      <x:c r="J1417" s="498"/>
      <x:c r="K1417" s="498"/>
      <x:c r="L1417" s="498"/>
      <x:c r="M1417" s="498"/>
    </x:row>
    <x:row r="1418" ht="18" customHeight="1">
      <x:c r="A1418" s="498"/>
      <x:c r="B1418" s="498"/>
      <x:c r="C1418" s="498"/>
      <x:c r="D1418" s="498"/>
      <x:c r="E1418" s="498"/>
      <x:c r="F1418" s="498"/>
      <x:c r="G1418" s="498"/>
      <x:c r="H1418" s="498"/>
      <x:c r="I1418" s="498"/>
      <x:c r="J1418" s="498"/>
      <x:c r="K1418" s="498"/>
      <x:c r="L1418" s="498"/>
      <x:c r="M1418" s="498"/>
    </x:row>
    <x:row r="1419" ht="18" customHeight="1">
      <x:c r="A1419" s="498"/>
      <x:c r="B1419" s="498"/>
      <x:c r="C1419" s="498"/>
      <x:c r="D1419" s="498"/>
      <x:c r="E1419" s="498"/>
      <x:c r="F1419" s="498"/>
      <x:c r="G1419" s="498"/>
      <x:c r="H1419" s="498"/>
      <x:c r="I1419" s="498"/>
      <x:c r="J1419" s="498"/>
      <x:c r="K1419" s="498"/>
      <x:c r="L1419" s="498"/>
      <x:c r="M1419" s="498"/>
    </x:row>
    <x:row r="1420" ht="18" customHeight="1">
      <x:c r="A1420" s="498"/>
      <x:c r="B1420" s="498"/>
      <x:c r="C1420" s="498"/>
      <x:c r="D1420" s="498"/>
      <x:c r="E1420" s="498"/>
      <x:c r="F1420" s="498"/>
      <x:c r="G1420" s="498"/>
      <x:c r="H1420" s="498"/>
      <x:c r="I1420" s="498"/>
      <x:c r="J1420" s="498"/>
      <x:c r="K1420" s="498"/>
      <x:c r="L1420" s="498"/>
      <x:c r="M1420" s="498"/>
    </x:row>
    <x:row r="1421" ht="18" customHeight="1">
      <x:c r="A1421" s="498"/>
      <x:c r="B1421" s="498"/>
      <x:c r="C1421" s="498"/>
      <x:c r="D1421" s="498"/>
      <x:c r="E1421" s="498"/>
      <x:c r="F1421" s="498"/>
      <x:c r="G1421" s="498"/>
      <x:c r="H1421" s="498"/>
      <x:c r="I1421" s="498"/>
      <x:c r="J1421" s="498"/>
      <x:c r="K1421" s="498"/>
      <x:c r="L1421" s="498"/>
      <x:c r="M1421" s="498"/>
    </x:row>
    <x:row r="1422" ht="18" customHeight="1">
      <x:c r="A1422" s="498"/>
      <x:c r="B1422" s="498"/>
      <x:c r="C1422" s="498"/>
      <x:c r="D1422" s="498"/>
      <x:c r="E1422" s="498"/>
      <x:c r="F1422" s="498"/>
      <x:c r="G1422" s="498"/>
      <x:c r="H1422" s="498"/>
      <x:c r="I1422" s="498"/>
      <x:c r="J1422" s="498"/>
      <x:c r="K1422" s="498"/>
      <x:c r="L1422" s="498"/>
      <x:c r="M1422" s="498"/>
    </x:row>
    <x:row r="1423" ht="18" customHeight="1">
      <x:c r="A1423" s="498"/>
      <x:c r="B1423" s="498"/>
      <x:c r="C1423" s="498"/>
      <x:c r="D1423" s="498"/>
      <x:c r="E1423" s="498"/>
      <x:c r="F1423" s="498"/>
      <x:c r="G1423" s="498"/>
      <x:c r="H1423" s="498"/>
      <x:c r="I1423" s="498"/>
      <x:c r="J1423" s="498"/>
      <x:c r="K1423" s="498"/>
      <x:c r="L1423" s="498"/>
      <x:c r="M1423" s="498"/>
    </x:row>
    <x:row r="1424" ht="18" customHeight="1">
      <x:c r="A1424" s="498"/>
      <x:c r="B1424" s="498"/>
      <x:c r="C1424" s="498"/>
      <x:c r="D1424" s="498"/>
      <x:c r="E1424" s="498"/>
      <x:c r="F1424" s="498"/>
      <x:c r="G1424" s="498"/>
      <x:c r="H1424" s="498"/>
      <x:c r="I1424" s="498"/>
      <x:c r="J1424" s="498"/>
      <x:c r="K1424" s="498"/>
      <x:c r="L1424" s="498"/>
      <x:c r="M1424" s="498"/>
    </x:row>
    <x:row r="1425" ht="18" customHeight="1">
      <x:c r="A1425" s="498"/>
      <x:c r="B1425" s="498"/>
      <x:c r="C1425" s="498"/>
      <x:c r="D1425" s="498"/>
      <x:c r="E1425" s="498"/>
      <x:c r="F1425" s="498"/>
      <x:c r="G1425" s="498"/>
      <x:c r="H1425" s="498"/>
      <x:c r="I1425" s="498"/>
      <x:c r="J1425" s="498"/>
      <x:c r="K1425" s="498"/>
      <x:c r="L1425" s="498"/>
      <x:c r="M1425" s="498"/>
    </x:row>
    <x:row r="1426" ht="18" customHeight="1">
      <x:c r="A1426" s="498"/>
      <x:c r="B1426" s="498"/>
      <x:c r="C1426" s="498"/>
      <x:c r="D1426" s="498"/>
      <x:c r="E1426" s="498"/>
      <x:c r="F1426" s="498"/>
      <x:c r="G1426" s="498"/>
      <x:c r="H1426" s="498"/>
      <x:c r="I1426" s="498"/>
      <x:c r="J1426" s="498"/>
      <x:c r="K1426" s="498"/>
      <x:c r="L1426" s="498"/>
      <x:c r="M1426" s="498"/>
    </x:row>
    <x:row r="1427" ht="18" customHeight="1">
      <x:c r="A1427" s="498"/>
      <x:c r="B1427" s="498"/>
      <x:c r="C1427" s="498"/>
      <x:c r="D1427" s="498"/>
      <x:c r="E1427" s="498"/>
      <x:c r="F1427" s="498"/>
      <x:c r="G1427" s="498"/>
      <x:c r="H1427" s="498"/>
      <x:c r="I1427" s="498"/>
      <x:c r="J1427" s="498"/>
      <x:c r="K1427" s="498"/>
      <x:c r="L1427" s="498"/>
      <x:c r="M1427" s="498"/>
    </x:row>
    <x:row r="1428" ht="18" customHeight="1">
      <x:c r="A1428" s="498"/>
      <x:c r="B1428" s="498"/>
      <x:c r="C1428" s="498"/>
      <x:c r="D1428" s="498"/>
      <x:c r="E1428" s="498"/>
      <x:c r="F1428" s="498"/>
      <x:c r="G1428" s="498"/>
      <x:c r="H1428" s="498"/>
      <x:c r="I1428" s="498"/>
      <x:c r="J1428" s="498"/>
      <x:c r="K1428" s="498"/>
      <x:c r="L1428" s="498"/>
      <x:c r="M1428" s="498"/>
    </x:row>
    <x:row r="1429" ht="18" customHeight="1">
      <x:c r="A1429" s="498"/>
      <x:c r="B1429" s="498"/>
      <x:c r="C1429" s="498"/>
      <x:c r="D1429" s="498"/>
      <x:c r="E1429" s="498"/>
      <x:c r="F1429" s="498"/>
      <x:c r="G1429" s="498"/>
      <x:c r="H1429" s="498"/>
      <x:c r="I1429" s="498"/>
      <x:c r="J1429" s="498"/>
      <x:c r="K1429" s="498"/>
      <x:c r="L1429" s="498"/>
      <x:c r="M1429" s="498"/>
    </x:row>
    <x:row r="1430" ht="18" customHeight="1">
      <x:c r="A1430" s="498"/>
      <x:c r="B1430" s="498"/>
      <x:c r="C1430" s="498"/>
      <x:c r="D1430" s="498"/>
      <x:c r="E1430" s="498"/>
      <x:c r="F1430" s="498"/>
      <x:c r="G1430" s="498"/>
      <x:c r="H1430" s="498"/>
      <x:c r="I1430" s="498"/>
      <x:c r="J1430" s="498"/>
      <x:c r="K1430" s="498"/>
      <x:c r="L1430" s="498"/>
      <x:c r="M1430" s="498"/>
    </x:row>
    <x:row r="1431" ht="18" customHeight="1">
      <x:c r="A1431" s="498"/>
      <x:c r="B1431" s="498"/>
      <x:c r="C1431" s="498"/>
      <x:c r="D1431" s="498"/>
      <x:c r="E1431" s="498"/>
      <x:c r="F1431" s="498"/>
      <x:c r="G1431" s="498"/>
      <x:c r="H1431" s="498"/>
      <x:c r="I1431" s="498"/>
      <x:c r="J1431" s="498"/>
      <x:c r="K1431" s="498"/>
      <x:c r="L1431" s="498"/>
      <x:c r="M1431" s="498"/>
    </x:row>
    <x:row r="1432" ht="18" customHeight="1">
      <x:c r="A1432" s="498"/>
      <x:c r="B1432" s="498"/>
      <x:c r="C1432" s="498"/>
      <x:c r="D1432" s="498"/>
      <x:c r="E1432" s="498"/>
      <x:c r="F1432" s="498"/>
      <x:c r="G1432" s="498"/>
      <x:c r="H1432" s="498"/>
      <x:c r="I1432" s="498"/>
      <x:c r="J1432" s="498"/>
      <x:c r="K1432" s="498"/>
      <x:c r="L1432" s="498"/>
      <x:c r="M1432" s="498"/>
    </x:row>
    <x:row r="1433" ht="18" customHeight="1">
      <x:c r="A1433" s="498"/>
      <x:c r="B1433" s="498"/>
      <x:c r="C1433" s="498"/>
      <x:c r="D1433" s="498"/>
      <x:c r="E1433" s="498"/>
      <x:c r="F1433" s="498"/>
      <x:c r="G1433" s="498"/>
      <x:c r="H1433" s="498"/>
      <x:c r="I1433" s="498"/>
      <x:c r="J1433" s="498"/>
      <x:c r="K1433" s="498"/>
      <x:c r="L1433" s="498"/>
      <x:c r="M1433" s="498"/>
    </x:row>
    <x:row r="1434" ht="18" customHeight="1">
      <x:c r="A1434" s="498"/>
      <x:c r="B1434" s="498"/>
      <x:c r="C1434" s="498"/>
      <x:c r="D1434" s="498"/>
      <x:c r="E1434" s="498"/>
      <x:c r="F1434" s="498"/>
      <x:c r="G1434" s="498"/>
      <x:c r="H1434" s="498"/>
      <x:c r="I1434" s="498"/>
      <x:c r="J1434" s="498"/>
      <x:c r="K1434" s="498"/>
      <x:c r="L1434" s="498"/>
      <x:c r="M1434" s="498"/>
    </x:row>
    <x:row r="1435" ht="18" customHeight="1">
      <x:c r="A1435" s="498"/>
      <x:c r="B1435" s="498"/>
      <x:c r="C1435" s="498"/>
      <x:c r="D1435" s="498"/>
      <x:c r="E1435" s="498"/>
      <x:c r="F1435" s="498"/>
      <x:c r="G1435" s="498"/>
      <x:c r="H1435" s="498"/>
      <x:c r="I1435" s="498"/>
      <x:c r="J1435" s="498"/>
      <x:c r="K1435" s="498"/>
      <x:c r="L1435" s="498"/>
      <x:c r="M1435" s="498"/>
    </x:row>
    <x:row r="1436" ht="18" customHeight="1">
      <x:c r="A1436" s="498"/>
      <x:c r="B1436" s="498"/>
      <x:c r="C1436" s="498"/>
      <x:c r="D1436" s="498"/>
      <x:c r="E1436" s="498"/>
      <x:c r="F1436" s="498"/>
      <x:c r="G1436" s="498"/>
      <x:c r="H1436" s="498"/>
      <x:c r="I1436" s="498"/>
      <x:c r="J1436" s="498"/>
      <x:c r="K1436" s="498"/>
      <x:c r="L1436" s="498"/>
      <x:c r="M1436" s="498"/>
    </x:row>
    <x:row r="1437" ht="18" customHeight="1">
      <x:c r="A1437" s="498"/>
      <x:c r="B1437" s="498"/>
      <x:c r="C1437" s="498"/>
      <x:c r="D1437" s="498"/>
      <x:c r="E1437" s="498"/>
      <x:c r="F1437" s="498"/>
      <x:c r="G1437" s="498"/>
      <x:c r="H1437" s="498"/>
      <x:c r="I1437" s="498"/>
      <x:c r="J1437" s="498"/>
      <x:c r="K1437" s="498"/>
      <x:c r="L1437" s="498"/>
      <x:c r="M1437" s="498"/>
    </x:row>
    <x:row r="1438" ht="18" customHeight="1">
      <x:c r="A1438" s="498"/>
      <x:c r="B1438" s="498"/>
      <x:c r="C1438" s="498"/>
      <x:c r="D1438" s="498"/>
      <x:c r="E1438" s="498"/>
      <x:c r="F1438" s="498"/>
      <x:c r="G1438" s="498"/>
      <x:c r="H1438" s="498"/>
      <x:c r="I1438" s="498"/>
      <x:c r="J1438" s="498"/>
      <x:c r="K1438" s="498"/>
      <x:c r="L1438" s="498"/>
      <x:c r="M1438" s="498"/>
    </x:row>
    <x:row r="1439" ht="18" customHeight="1">
      <x:c r="A1439" s="498"/>
      <x:c r="B1439" s="498"/>
      <x:c r="C1439" s="498"/>
      <x:c r="D1439" s="498"/>
      <x:c r="E1439" s="498"/>
      <x:c r="F1439" s="498"/>
      <x:c r="G1439" s="498"/>
      <x:c r="H1439" s="498"/>
      <x:c r="I1439" s="498"/>
      <x:c r="J1439" s="498"/>
      <x:c r="K1439" s="498"/>
      <x:c r="L1439" s="498"/>
      <x:c r="M1439" s="498"/>
    </x:row>
    <x:row r="1440" ht="18" customHeight="1">
      <x:c r="A1440" s="498"/>
      <x:c r="B1440" s="498"/>
      <x:c r="C1440" s="498"/>
      <x:c r="D1440" s="498"/>
      <x:c r="E1440" s="498"/>
      <x:c r="F1440" s="498"/>
      <x:c r="G1440" s="498"/>
      <x:c r="H1440" s="498"/>
      <x:c r="I1440" s="498"/>
      <x:c r="J1440" s="498"/>
      <x:c r="K1440" s="498"/>
      <x:c r="L1440" s="498"/>
      <x:c r="M1440" s="498"/>
    </x:row>
    <x:row r="1441" ht="18" customHeight="1">
      <x:c r="A1441" s="498"/>
      <x:c r="B1441" s="498"/>
      <x:c r="C1441" s="498"/>
      <x:c r="D1441" s="498"/>
      <x:c r="E1441" s="498"/>
      <x:c r="F1441" s="498"/>
      <x:c r="G1441" s="498"/>
      <x:c r="H1441" s="498"/>
      <x:c r="I1441" s="498"/>
      <x:c r="J1441" s="498"/>
      <x:c r="K1441" s="498"/>
      <x:c r="L1441" s="498"/>
      <x:c r="M1441" s="498"/>
    </x:row>
    <x:row r="1442" ht="18" customHeight="1">
      <x:c r="A1442" s="498"/>
      <x:c r="B1442" s="498"/>
      <x:c r="C1442" s="498"/>
      <x:c r="D1442" s="498"/>
      <x:c r="E1442" s="498"/>
      <x:c r="F1442" s="498"/>
      <x:c r="G1442" s="498"/>
      <x:c r="H1442" s="498"/>
      <x:c r="I1442" s="498"/>
      <x:c r="J1442" s="498"/>
      <x:c r="K1442" s="498"/>
      <x:c r="L1442" s="498"/>
      <x:c r="M1442" s="498"/>
    </x:row>
    <x:row r="1443" ht="18" customHeight="1">
      <x:c r="A1443" s="498"/>
      <x:c r="B1443" s="498"/>
      <x:c r="C1443" s="498"/>
      <x:c r="D1443" s="498"/>
      <x:c r="E1443" s="498"/>
      <x:c r="F1443" s="498"/>
      <x:c r="G1443" s="498"/>
      <x:c r="H1443" s="498"/>
      <x:c r="I1443" s="498"/>
      <x:c r="J1443" s="498"/>
      <x:c r="K1443" s="498"/>
      <x:c r="L1443" s="498"/>
      <x:c r="M1443" s="498"/>
    </x:row>
    <x:row r="1444" ht="18" customHeight="1">
      <x:c r="A1444" s="498"/>
      <x:c r="B1444" s="498"/>
      <x:c r="C1444" s="498"/>
      <x:c r="D1444" s="498"/>
      <x:c r="E1444" s="498"/>
      <x:c r="F1444" s="498"/>
      <x:c r="G1444" s="498"/>
      <x:c r="H1444" s="498"/>
      <x:c r="I1444" s="498"/>
      <x:c r="J1444" s="498"/>
      <x:c r="K1444" s="498"/>
      <x:c r="L1444" s="498"/>
      <x:c r="M1444" s="498"/>
    </x:row>
    <x:row r="1445" ht="18" customHeight="1">
      <x:c r="A1445" s="498"/>
      <x:c r="B1445" s="498"/>
      <x:c r="C1445" s="498"/>
      <x:c r="D1445" s="498"/>
      <x:c r="E1445" s="498"/>
      <x:c r="F1445" s="498"/>
      <x:c r="G1445" s="498"/>
      <x:c r="H1445" s="498"/>
      <x:c r="I1445" s="498"/>
      <x:c r="J1445" s="498"/>
      <x:c r="K1445" s="498"/>
      <x:c r="L1445" s="498"/>
      <x:c r="M1445" s="498"/>
    </x:row>
    <x:row r="1446" ht="18" customHeight="1">
      <x:c r="A1446" s="498"/>
      <x:c r="B1446" s="498"/>
      <x:c r="C1446" s="498"/>
      <x:c r="D1446" s="498"/>
      <x:c r="E1446" s="498"/>
      <x:c r="F1446" s="498"/>
      <x:c r="G1446" s="498"/>
      <x:c r="H1446" s="498"/>
      <x:c r="I1446" s="498"/>
      <x:c r="J1446" s="498"/>
      <x:c r="K1446" s="498"/>
      <x:c r="L1446" s="498"/>
      <x:c r="M1446" s="498"/>
    </x:row>
    <x:row r="1447" ht="18" customHeight="1">
      <x:c r="A1447" s="498"/>
      <x:c r="B1447" s="498"/>
      <x:c r="C1447" s="498"/>
      <x:c r="D1447" s="498"/>
      <x:c r="E1447" s="498"/>
      <x:c r="F1447" s="498"/>
      <x:c r="G1447" s="498"/>
      <x:c r="H1447" s="498"/>
      <x:c r="I1447" s="498"/>
      <x:c r="J1447" s="498"/>
      <x:c r="K1447" s="498"/>
      <x:c r="L1447" s="498"/>
      <x:c r="M1447" s="498"/>
    </x:row>
    <x:row r="1448" ht="18" customHeight="1">
      <x:c r="A1448" s="498"/>
      <x:c r="B1448" s="498"/>
      <x:c r="C1448" s="498"/>
      <x:c r="D1448" s="498"/>
      <x:c r="E1448" s="498"/>
      <x:c r="F1448" s="498"/>
      <x:c r="G1448" s="498"/>
      <x:c r="H1448" s="498"/>
      <x:c r="I1448" s="498"/>
      <x:c r="J1448" s="498"/>
      <x:c r="K1448" s="498"/>
      <x:c r="L1448" s="498"/>
      <x:c r="M1448" s="498"/>
    </x:row>
    <x:row r="1449" ht="18" customHeight="1">
      <x:c r="A1449" s="498"/>
      <x:c r="B1449" s="498"/>
      <x:c r="C1449" s="498"/>
      <x:c r="D1449" s="498"/>
      <x:c r="E1449" s="498"/>
      <x:c r="F1449" s="498"/>
      <x:c r="G1449" s="498"/>
      <x:c r="H1449" s="498"/>
      <x:c r="I1449" s="498"/>
      <x:c r="J1449" s="498"/>
      <x:c r="K1449" s="498"/>
      <x:c r="L1449" s="498"/>
      <x:c r="M1449" s="498"/>
    </x:row>
    <x:row r="1450" ht="18" customHeight="1">
      <x:c r="A1450" s="498"/>
      <x:c r="B1450" s="498"/>
      <x:c r="C1450" s="498"/>
      <x:c r="D1450" s="498"/>
      <x:c r="E1450" s="498"/>
      <x:c r="F1450" s="498"/>
      <x:c r="G1450" s="498"/>
      <x:c r="H1450" s="498"/>
      <x:c r="I1450" s="498"/>
      <x:c r="J1450" s="498"/>
      <x:c r="K1450" s="498"/>
      <x:c r="L1450" s="498"/>
      <x:c r="M1450" s="498"/>
    </x:row>
    <x:row r="1451" ht="18" customHeight="1">
      <x:c r="A1451" s="498"/>
      <x:c r="B1451" s="498"/>
      <x:c r="C1451" s="498"/>
      <x:c r="D1451" s="498"/>
      <x:c r="E1451" s="498"/>
      <x:c r="F1451" s="498"/>
      <x:c r="G1451" s="498"/>
      <x:c r="H1451" s="498"/>
      <x:c r="I1451" s="498"/>
      <x:c r="J1451" s="498"/>
      <x:c r="K1451" s="498"/>
      <x:c r="L1451" s="498"/>
      <x:c r="M1451" s="498"/>
    </x:row>
    <x:row r="1452" ht="18" customHeight="1">
      <x:c r="A1452" s="498"/>
      <x:c r="B1452" s="498"/>
      <x:c r="C1452" s="498"/>
      <x:c r="D1452" s="498"/>
      <x:c r="E1452" s="498"/>
      <x:c r="F1452" s="498"/>
      <x:c r="G1452" s="498"/>
      <x:c r="H1452" s="498"/>
      <x:c r="I1452" s="498"/>
      <x:c r="J1452" s="498"/>
      <x:c r="K1452" s="498"/>
      <x:c r="L1452" s="498"/>
      <x:c r="M1452" s="498"/>
    </x:row>
    <x:row r="1453" ht="18" customHeight="1">
      <x:c r="A1453" s="498"/>
      <x:c r="B1453" s="498"/>
      <x:c r="C1453" s="498"/>
      <x:c r="D1453" s="498"/>
      <x:c r="E1453" s="498"/>
      <x:c r="F1453" s="498"/>
      <x:c r="G1453" s="498"/>
      <x:c r="H1453" s="498"/>
      <x:c r="I1453" s="498"/>
      <x:c r="J1453" s="498"/>
      <x:c r="K1453" s="498"/>
      <x:c r="L1453" s="498"/>
      <x:c r="M1453" s="498"/>
    </x:row>
    <x:row r="1454" ht="18" customHeight="1">
      <x:c r="A1454" s="498"/>
      <x:c r="B1454" s="498"/>
      <x:c r="C1454" s="498"/>
      <x:c r="D1454" s="498"/>
      <x:c r="E1454" s="498"/>
      <x:c r="F1454" s="498"/>
      <x:c r="G1454" s="498"/>
      <x:c r="H1454" s="498"/>
      <x:c r="I1454" s="498"/>
      <x:c r="J1454" s="498"/>
      <x:c r="K1454" s="498"/>
      <x:c r="L1454" s="498"/>
      <x:c r="M1454" s="498"/>
    </x:row>
    <x:row r="1455" ht="18" customHeight="1">
      <x:c r="A1455" s="498"/>
      <x:c r="B1455" s="498"/>
      <x:c r="C1455" s="498"/>
      <x:c r="D1455" s="498"/>
      <x:c r="E1455" s="498"/>
      <x:c r="F1455" s="498"/>
      <x:c r="G1455" s="498"/>
      <x:c r="H1455" s="498"/>
      <x:c r="I1455" s="498"/>
      <x:c r="J1455" s="498"/>
      <x:c r="K1455" s="498"/>
      <x:c r="L1455" s="498"/>
      <x:c r="M1455" s="498"/>
    </x:row>
    <x:row r="1456" ht="18" customHeight="1">
      <x:c r="A1456" s="498"/>
      <x:c r="B1456" s="498"/>
      <x:c r="C1456" s="498"/>
      <x:c r="D1456" s="498"/>
      <x:c r="E1456" s="498"/>
      <x:c r="F1456" s="498"/>
      <x:c r="G1456" s="498"/>
      <x:c r="H1456" s="498"/>
      <x:c r="I1456" s="498"/>
      <x:c r="J1456" s="498"/>
      <x:c r="K1456" s="498"/>
      <x:c r="L1456" s="498"/>
      <x:c r="M1456" s="498"/>
    </x:row>
    <x:row r="1457" ht="18" customHeight="1">
      <x:c r="A1457" s="498"/>
      <x:c r="B1457" s="498"/>
      <x:c r="C1457" s="498"/>
      <x:c r="D1457" s="498"/>
      <x:c r="E1457" s="498"/>
      <x:c r="F1457" s="498"/>
      <x:c r="G1457" s="498"/>
      <x:c r="H1457" s="498"/>
      <x:c r="I1457" s="498"/>
      <x:c r="J1457" s="498"/>
      <x:c r="K1457" s="498"/>
      <x:c r="L1457" s="498"/>
      <x:c r="M1457" s="498"/>
    </x:row>
    <x:row r="1458" ht="18" customHeight="1">
      <x:c r="A1458" s="498"/>
      <x:c r="B1458" s="498"/>
      <x:c r="C1458" s="498"/>
      <x:c r="D1458" s="498"/>
      <x:c r="E1458" s="498"/>
      <x:c r="F1458" s="498"/>
      <x:c r="G1458" s="498"/>
      <x:c r="H1458" s="498"/>
      <x:c r="I1458" s="498"/>
      <x:c r="J1458" s="498"/>
      <x:c r="K1458" s="498"/>
      <x:c r="L1458" s="498"/>
      <x:c r="M1458" s="498"/>
    </x:row>
    <x:row r="1459" ht="18" customHeight="1">
      <x:c r="A1459" s="498"/>
      <x:c r="B1459" s="498"/>
      <x:c r="C1459" s="498"/>
      <x:c r="D1459" s="498"/>
      <x:c r="E1459" s="498"/>
      <x:c r="F1459" s="498"/>
      <x:c r="G1459" s="498"/>
      <x:c r="H1459" s="498"/>
      <x:c r="I1459" s="498"/>
      <x:c r="J1459" s="498"/>
      <x:c r="K1459" s="498"/>
      <x:c r="L1459" s="498"/>
      <x:c r="M1459" s="498"/>
    </x:row>
    <x:row r="1460" ht="18" customHeight="1">
      <x:c r="A1460" s="498"/>
      <x:c r="B1460" s="498"/>
      <x:c r="C1460" s="498"/>
      <x:c r="D1460" s="498"/>
      <x:c r="E1460" s="498"/>
      <x:c r="F1460" s="498"/>
      <x:c r="G1460" s="498"/>
      <x:c r="H1460" s="498"/>
      <x:c r="I1460" s="498"/>
      <x:c r="J1460" s="498"/>
      <x:c r="K1460" s="498"/>
      <x:c r="L1460" s="498"/>
      <x:c r="M1460" s="498"/>
    </x:row>
    <x:row r="1461" ht="18" customHeight="1">
      <x:c r="A1461" s="498"/>
      <x:c r="B1461" s="498"/>
      <x:c r="C1461" s="498"/>
      <x:c r="D1461" s="498"/>
      <x:c r="E1461" s="498"/>
      <x:c r="F1461" s="498"/>
      <x:c r="G1461" s="498"/>
      <x:c r="H1461" s="498"/>
      <x:c r="I1461" s="498"/>
      <x:c r="J1461" s="498"/>
      <x:c r="K1461" s="498"/>
      <x:c r="L1461" s="498"/>
      <x:c r="M1461" s="498"/>
    </x:row>
    <x:row r="1462" ht="18" customHeight="1">
      <x:c r="A1462" s="498"/>
      <x:c r="B1462" s="498"/>
      <x:c r="C1462" s="498"/>
      <x:c r="D1462" s="498"/>
      <x:c r="E1462" s="498"/>
      <x:c r="F1462" s="498"/>
      <x:c r="G1462" s="498"/>
      <x:c r="H1462" s="498"/>
      <x:c r="I1462" s="498"/>
      <x:c r="J1462" s="498"/>
      <x:c r="K1462" s="498"/>
      <x:c r="L1462" s="498"/>
      <x:c r="M1462" s="498"/>
    </x:row>
    <x:row r="1463" ht="18" customHeight="1">
      <x:c r="A1463" s="498"/>
      <x:c r="B1463" s="498"/>
      <x:c r="C1463" s="498"/>
      <x:c r="D1463" s="498"/>
      <x:c r="E1463" s="498"/>
      <x:c r="F1463" s="498"/>
      <x:c r="G1463" s="498"/>
      <x:c r="H1463" s="498"/>
      <x:c r="I1463" s="498"/>
      <x:c r="J1463" s="498"/>
      <x:c r="K1463" s="498"/>
      <x:c r="L1463" s="498"/>
      <x:c r="M1463" s="498"/>
    </x:row>
    <x:row r="1464" ht="18" customHeight="1">
      <x:c r="A1464" s="498"/>
      <x:c r="B1464" s="498"/>
      <x:c r="C1464" s="498"/>
      <x:c r="D1464" s="498"/>
      <x:c r="E1464" s="498"/>
      <x:c r="F1464" s="498"/>
      <x:c r="G1464" s="498"/>
      <x:c r="H1464" s="498"/>
      <x:c r="I1464" s="498"/>
      <x:c r="J1464" s="498"/>
      <x:c r="K1464" s="498"/>
      <x:c r="L1464" s="498"/>
      <x:c r="M1464" s="498"/>
    </x:row>
    <x:row r="1465" ht="18" customHeight="1">
      <x:c r="A1465" s="498"/>
      <x:c r="B1465" s="498"/>
      <x:c r="C1465" s="498"/>
      <x:c r="D1465" s="498"/>
      <x:c r="E1465" s="498"/>
      <x:c r="F1465" s="498"/>
      <x:c r="G1465" s="498"/>
      <x:c r="H1465" s="498"/>
      <x:c r="I1465" s="498"/>
      <x:c r="J1465" s="498"/>
      <x:c r="K1465" s="498"/>
      <x:c r="L1465" s="498"/>
      <x:c r="M1465" s="498"/>
    </x:row>
    <x:row r="1466" ht="18" customHeight="1">
      <x:c r="A1466" s="498"/>
      <x:c r="B1466" s="498"/>
      <x:c r="C1466" s="498"/>
      <x:c r="D1466" s="498"/>
      <x:c r="E1466" s="498"/>
      <x:c r="F1466" s="498"/>
      <x:c r="G1466" s="498"/>
      <x:c r="H1466" s="498"/>
      <x:c r="I1466" s="498"/>
      <x:c r="J1466" s="498"/>
      <x:c r="K1466" s="498"/>
      <x:c r="L1466" s="498"/>
      <x:c r="M1466" s="498"/>
    </x:row>
    <x:row r="1467" ht="18" customHeight="1">
      <x:c r="A1467" s="498"/>
      <x:c r="B1467" s="498"/>
      <x:c r="C1467" s="498"/>
      <x:c r="D1467" s="498"/>
      <x:c r="E1467" s="498"/>
      <x:c r="F1467" s="498"/>
      <x:c r="G1467" s="498"/>
      <x:c r="H1467" s="498"/>
      <x:c r="I1467" s="498"/>
      <x:c r="J1467" s="498"/>
      <x:c r="K1467" s="498"/>
      <x:c r="L1467" s="498"/>
      <x:c r="M1467" s="498"/>
    </x:row>
    <x:row r="1468" ht="18" customHeight="1">
      <x:c r="A1468" s="498"/>
      <x:c r="B1468" s="498"/>
      <x:c r="C1468" s="498"/>
      <x:c r="D1468" s="498"/>
      <x:c r="E1468" s="498"/>
      <x:c r="F1468" s="498"/>
      <x:c r="G1468" s="498"/>
      <x:c r="H1468" s="498"/>
      <x:c r="I1468" s="498"/>
      <x:c r="J1468" s="498"/>
      <x:c r="K1468" s="498"/>
      <x:c r="L1468" s="498"/>
      <x:c r="M1468" s="498"/>
    </x:row>
    <x:row r="1469" ht="18" customHeight="1">
      <x:c r="A1469" s="498"/>
      <x:c r="B1469" s="498"/>
      <x:c r="C1469" s="498"/>
      <x:c r="D1469" s="498"/>
      <x:c r="E1469" s="498"/>
      <x:c r="F1469" s="498"/>
      <x:c r="G1469" s="498"/>
      <x:c r="H1469" s="498"/>
      <x:c r="I1469" s="498"/>
      <x:c r="J1469" s="498"/>
      <x:c r="K1469" s="498"/>
      <x:c r="L1469" s="498"/>
      <x:c r="M1469" s="498"/>
    </x:row>
    <x:row r="1470" ht="18" customHeight="1">
      <x:c r="A1470" s="498"/>
      <x:c r="B1470" s="498"/>
      <x:c r="C1470" s="498"/>
      <x:c r="D1470" s="498"/>
      <x:c r="E1470" s="498"/>
      <x:c r="F1470" s="498"/>
      <x:c r="G1470" s="498"/>
      <x:c r="H1470" s="498"/>
      <x:c r="I1470" s="498"/>
      <x:c r="J1470" s="498"/>
      <x:c r="K1470" s="498"/>
      <x:c r="L1470" s="498"/>
      <x:c r="M1470" s="498"/>
    </x:row>
    <x:row r="1471" ht="18" customHeight="1">
      <x:c r="A1471" s="498"/>
      <x:c r="B1471" s="498"/>
      <x:c r="C1471" s="498"/>
      <x:c r="D1471" s="498"/>
      <x:c r="E1471" s="498"/>
      <x:c r="F1471" s="498"/>
      <x:c r="G1471" s="498"/>
      <x:c r="H1471" s="498"/>
      <x:c r="I1471" s="498"/>
      <x:c r="J1471" s="498"/>
      <x:c r="K1471" s="498"/>
      <x:c r="L1471" s="498"/>
      <x:c r="M1471" s="498"/>
    </x:row>
    <x:row r="1472" ht="18" customHeight="1">
      <x:c r="A1472" s="498"/>
      <x:c r="B1472" s="498"/>
      <x:c r="C1472" s="498"/>
      <x:c r="D1472" s="498"/>
      <x:c r="E1472" s="498"/>
      <x:c r="F1472" s="498"/>
      <x:c r="G1472" s="498"/>
      <x:c r="H1472" s="498"/>
      <x:c r="I1472" s="498"/>
      <x:c r="J1472" s="498"/>
      <x:c r="K1472" s="498"/>
      <x:c r="L1472" s="498"/>
      <x:c r="M1472" s="498"/>
    </x:row>
    <x:row r="1473" ht="18" customHeight="1">
      <x:c r="A1473" s="498"/>
      <x:c r="B1473" s="498"/>
      <x:c r="C1473" s="498"/>
      <x:c r="D1473" s="498"/>
      <x:c r="E1473" s="498"/>
      <x:c r="F1473" s="498"/>
      <x:c r="G1473" s="498"/>
      <x:c r="H1473" s="498"/>
      <x:c r="I1473" s="498"/>
      <x:c r="J1473" s="498"/>
      <x:c r="K1473" s="498"/>
      <x:c r="L1473" s="498"/>
      <x:c r="M1473" s="498"/>
    </x:row>
    <x:row r="1474" ht="18" customHeight="1">
      <x:c r="A1474" s="498"/>
      <x:c r="B1474" s="498"/>
      <x:c r="C1474" s="498"/>
      <x:c r="D1474" s="498"/>
      <x:c r="E1474" s="498"/>
      <x:c r="F1474" s="498"/>
      <x:c r="G1474" s="498"/>
      <x:c r="H1474" s="498"/>
      <x:c r="I1474" s="498"/>
      <x:c r="J1474" s="498"/>
      <x:c r="K1474" s="498"/>
      <x:c r="L1474" s="498"/>
      <x:c r="M1474" s="498"/>
    </x:row>
    <x:row r="1475" ht="18" customHeight="1">
      <x:c r="A1475" s="498"/>
      <x:c r="B1475" s="498"/>
      <x:c r="C1475" s="498"/>
      <x:c r="D1475" s="498"/>
      <x:c r="E1475" s="498"/>
      <x:c r="F1475" s="498"/>
      <x:c r="G1475" s="498"/>
      <x:c r="H1475" s="498"/>
      <x:c r="I1475" s="498"/>
      <x:c r="J1475" s="498"/>
      <x:c r="K1475" s="498"/>
      <x:c r="L1475" s="498"/>
      <x:c r="M1475" s="498"/>
    </x:row>
    <x:row r="1476" ht="18" customHeight="1">
      <x:c r="A1476" s="498"/>
      <x:c r="B1476" s="498"/>
      <x:c r="C1476" s="498"/>
      <x:c r="D1476" s="498"/>
      <x:c r="E1476" s="498"/>
      <x:c r="F1476" s="498"/>
      <x:c r="G1476" s="498"/>
      <x:c r="H1476" s="498"/>
      <x:c r="I1476" s="498"/>
      <x:c r="J1476" s="498"/>
      <x:c r="K1476" s="498"/>
      <x:c r="L1476" s="498"/>
      <x:c r="M1476" s="498"/>
    </x:row>
    <x:row r="1477" ht="18" customHeight="1">
      <x:c r="A1477" s="498"/>
      <x:c r="B1477" s="498"/>
      <x:c r="C1477" s="498"/>
      <x:c r="D1477" s="498"/>
      <x:c r="E1477" s="498"/>
      <x:c r="F1477" s="498"/>
      <x:c r="G1477" s="498"/>
      <x:c r="H1477" s="498"/>
      <x:c r="I1477" s="498"/>
      <x:c r="J1477" s="498"/>
      <x:c r="K1477" s="498"/>
      <x:c r="L1477" s="498"/>
      <x:c r="M1477" s="498"/>
    </x:row>
    <x:row r="1478" ht="18" customHeight="1">
      <x:c r="A1478" s="498"/>
      <x:c r="B1478" s="498"/>
      <x:c r="C1478" s="498"/>
      <x:c r="D1478" s="498"/>
      <x:c r="E1478" s="498"/>
      <x:c r="F1478" s="498"/>
      <x:c r="G1478" s="498"/>
      <x:c r="H1478" s="498"/>
      <x:c r="I1478" s="498"/>
      <x:c r="J1478" s="498"/>
      <x:c r="K1478" s="498"/>
      <x:c r="L1478" s="498"/>
      <x:c r="M1478" s="498"/>
    </x:row>
    <x:row r="1479" ht="18" customHeight="1">
      <x:c r="A1479" s="498"/>
      <x:c r="B1479" s="498"/>
      <x:c r="C1479" s="498"/>
      <x:c r="D1479" s="498"/>
      <x:c r="E1479" s="498"/>
      <x:c r="F1479" s="498"/>
      <x:c r="G1479" s="498"/>
      <x:c r="H1479" s="498"/>
      <x:c r="I1479" s="498"/>
      <x:c r="J1479" s="498"/>
      <x:c r="K1479" s="498"/>
      <x:c r="L1479" s="498"/>
      <x:c r="M1479" s="498"/>
    </x:row>
    <x:row r="1480" ht="18" customHeight="1">
      <x:c r="A1480" s="498"/>
      <x:c r="B1480" s="498"/>
      <x:c r="C1480" s="498"/>
      <x:c r="D1480" s="498"/>
      <x:c r="E1480" s="498"/>
      <x:c r="F1480" s="498"/>
      <x:c r="G1480" s="498"/>
      <x:c r="H1480" s="498"/>
      <x:c r="I1480" s="498"/>
      <x:c r="J1480" s="498"/>
      <x:c r="K1480" s="498"/>
      <x:c r="L1480" s="498"/>
      <x:c r="M1480" s="498"/>
    </x:row>
    <x:row r="1481" ht="18" customHeight="1">
      <x:c r="A1481" s="498"/>
      <x:c r="B1481" s="498"/>
      <x:c r="C1481" s="498"/>
      <x:c r="D1481" s="498"/>
      <x:c r="E1481" s="498"/>
      <x:c r="F1481" s="498"/>
      <x:c r="G1481" s="498"/>
      <x:c r="H1481" s="498"/>
      <x:c r="I1481" s="498"/>
      <x:c r="J1481" s="498"/>
      <x:c r="K1481" s="498"/>
      <x:c r="L1481" s="498"/>
      <x:c r="M1481" s="498"/>
    </x:row>
    <x:row r="1482" ht="18" customHeight="1">
      <x:c r="A1482" s="498"/>
      <x:c r="B1482" s="498"/>
      <x:c r="C1482" s="498"/>
      <x:c r="D1482" s="498"/>
      <x:c r="E1482" s="498"/>
      <x:c r="F1482" s="498"/>
      <x:c r="G1482" s="498"/>
      <x:c r="H1482" s="498"/>
      <x:c r="I1482" s="498"/>
      <x:c r="J1482" s="498"/>
      <x:c r="K1482" s="498"/>
      <x:c r="L1482" s="498"/>
      <x:c r="M1482" s="498"/>
    </x:row>
    <x:row r="1483" ht="18" customHeight="1">
      <x:c r="A1483" s="498"/>
      <x:c r="B1483" s="498"/>
      <x:c r="C1483" s="498"/>
      <x:c r="D1483" s="498"/>
      <x:c r="E1483" s="498"/>
      <x:c r="F1483" s="498"/>
      <x:c r="G1483" s="498"/>
      <x:c r="H1483" s="498"/>
      <x:c r="I1483" s="498"/>
      <x:c r="J1483" s="498"/>
      <x:c r="K1483" s="498"/>
      <x:c r="L1483" s="498"/>
      <x:c r="M1483" s="498"/>
    </x:row>
    <x:row r="1484" ht="18" customHeight="1">
      <x:c r="A1484" s="498"/>
      <x:c r="B1484" s="498"/>
      <x:c r="C1484" s="498"/>
      <x:c r="D1484" s="498"/>
      <x:c r="E1484" s="498"/>
      <x:c r="F1484" s="498"/>
      <x:c r="G1484" s="498"/>
      <x:c r="H1484" s="498"/>
      <x:c r="I1484" s="498"/>
      <x:c r="J1484" s="498"/>
      <x:c r="K1484" s="498"/>
      <x:c r="L1484" s="498"/>
      <x:c r="M1484" s="498"/>
    </x:row>
    <x:row r="1485" ht="18" customHeight="1">
      <x:c r="A1485" s="498"/>
      <x:c r="B1485" s="498"/>
      <x:c r="C1485" s="498"/>
      <x:c r="D1485" s="498"/>
      <x:c r="E1485" s="498"/>
      <x:c r="F1485" s="498"/>
      <x:c r="G1485" s="498"/>
      <x:c r="H1485" s="498"/>
      <x:c r="I1485" s="498"/>
      <x:c r="J1485" s="498"/>
      <x:c r="K1485" s="498"/>
      <x:c r="L1485" s="498"/>
      <x:c r="M1485" s="498"/>
    </x:row>
    <x:row r="1486" ht="18" customHeight="1">
      <x:c r="A1486" s="498"/>
      <x:c r="B1486" s="498"/>
      <x:c r="C1486" s="498"/>
      <x:c r="D1486" s="498"/>
      <x:c r="E1486" s="498"/>
      <x:c r="F1486" s="498"/>
      <x:c r="G1486" s="498"/>
      <x:c r="H1486" s="498"/>
      <x:c r="I1486" s="498"/>
      <x:c r="J1486" s="498"/>
      <x:c r="K1486" s="498"/>
      <x:c r="L1486" s="498"/>
      <x:c r="M1486" s="498"/>
    </x:row>
    <x:row r="1487" ht="18" customHeight="1">
      <x:c r="A1487" s="498"/>
      <x:c r="B1487" s="498"/>
      <x:c r="C1487" s="498"/>
      <x:c r="D1487" s="498"/>
      <x:c r="E1487" s="498"/>
      <x:c r="F1487" s="498"/>
      <x:c r="G1487" s="498"/>
      <x:c r="H1487" s="498"/>
      <x:c r="I1487" s="498"/>
      <x:c r="J1487" s="498"/>
      <x:c r="K1487" s="498"/>
      <x:c r="L1487" s="498"/>
      <x:c r="M1487" s="498"/>
    </x:row>
    <x:row r="1488" ht="18" customHeight="1">
      <x:c r="A1488" s="498"/>
      <x:c r="B1488" s="498"/>
      <x:c r="C1488" s="498"/>
      <x:c r="D1488" s="498"/>
      <x:c r="E1488" s="498"/>
      <x:c r="F1488" s="498"/>
      <x:c r="G1488" s="498"/>
      <x:c r="H1488" s="498"/>
      <x:c r="I1488" s="498"/>
      <x:c r="J1488" s="498"/>
      <x:c r="K1488" s="498"/>
      <x:c r="L1488" s="498"/>
      <x:c r="M1488" s="498"/>
    </x:row>
    <x:row r="1489" ht="18" customHeight="1">
      <x:c r="A1489" s="498"/>
      <x:c r="B1489" s="498"/>
      <x:c r="C1489" s="498"/>
      <x:c r="D1489" s="498"/>
      <x:c r="E1489" s="498"/>
      <x:c r="F1489" s="498"/>
      <x:c r="G1489" s="498"/>
      <x:c r="H1489" s="498"/>
      <x:c r="I1489" s="498"/>
      <x:c r="J1489" s="498"/>
      <x:c r="K1489" s="498"/>
      <x:c r="L1489" s="498"/>
      <x:c r="M1489" s="498"/>
    </x:row>
    <x:row r="1490" ht="18" customHeight="1">
      <x:c r="A1490" s="498"/>
      <x:c r="B1490" s="498"/>
      <x:c r="C1490" s="498"/>
      <x:c r="D1490" s="498"/>
      <x:c r="E1490" s="498"/>
      <x:c r="F1490" s="498"/>
      <x:c r="G1490" s="498"/>
      <x:c r="H1490" s="498"/>
      <x:c r="I1490" s="498"/>
      <x:c r="J1490" s="498"/>
      <x:c r="K1490" s="498"/>
      <x:c r="L1490" s="498"/>
      <x:c r="M1490" s="498"/>
    </x:row>
    <x:row r="1491" ht="18" customHeight="1">
      <x:c r="A1491" s="498"/>
      <x:c r="B1491" s="498"/>
      <x:c r="C1491" s="498"/>
      <x:c r="D1491" s="498"/>
      <x:c r="E1491" s="498"/>
      <x:c r="F1491" s="498"/>
      <x:c r="G1491" s="498"/>
      <x:c r="H1491" s="498"/>
      <x:c r="I1491" s="498"/>
      <x:c r="J1491" s="498"/>
      <x:c r="K1491" s="498"/>
      <x:c r="L1491" s="498"/>
      <x:c r="M1491" s="498"/>
    </x:row>
    <x:row r="1492" ht="18" customHeight="1">
      <x:c r="A1492" s="498"/>
      <x:c r="B1492" s="498"/>
      <x:c r="C1492" s="498"/>
      <x:c r="D1492" s="498"/>
      <x:c r="E1492" s="498"/>
      <x:c r="F1492" s="498"/>
      <x:c r="G1492" s="498"/>
      <x:c r="H1492" s="498"/>
      <x:c r="I1492" s="498"/>
      <x:c r="J1492" s="498"/>
      <x:c r="K1492" s="498"/>
      <x:c r="L1492" s="498"/>
      <x:c r="M1492" s="498"/>
    </x:row>
    <x:row r="1493" ht="18" customHeight="1">
      <x:c r="A1493" s="498"/>
      <x:c r="B1493" s="498"/>
      <x:c r="C1493" s="498"/>
      <x:c r="D1493" s="498"/>
      <x:c r="E1493" s="498"/>
      <x:c r="F1493" s="498"/>
      <x:c r="G1493" s="498"/>
      <x:c r="H1493" s="498"/>
      <x:c r="I1493" s="498"/>
      <x:c r="J1493" s="498"/>
      <x:c r="K1493" s="498"/>
      <x:c r="L1493" s="498"/>
      <x:c r="M1493" s="498"/>
    </x:row>
    <x:row r="1494" ht="18" customHeight="1">
      <x:c r="A1494" s="498"/>
      <x:c r="B1494" s="498"/>
      <x:c r="C1494" s="498"/>
      <x:c r="D1494" s="498"/>
      <x:c r="E1494" s="498"/>
      <x:c r="F1494" s="498"/>
      <x:c r="G1494" s="498"/>
      <x:c r="H1494" s="498"/>
      <x:c r="I1494" s="498"/>
      <x:c r="J1494" s="498"/>
      <x:c r="K1494" s="498"/>
      <x:c r="L1494" s="498"/>
      <x:c r="M1494" s="498"/>
    </x:row>
    <x:row r="1495" ht="18" customHeight="1">
      <x:c r="A1495" s="498"/>
      <x:c r="B1495" s="498"/>
      <x:c r="C1495" s="498"/>
      <x:c r="D1495" s="498"/>
      <x:c r="E1495" s="498"/>
      <x:c r="F1495" s="498"/>
      <x:c r="G1495" s="498"/>
      <x:c r="H1495" s="498"/>
      <x:c r="I1495" s="498"/>
      <x:c r="J1495" s="498"/>
      <x:c r="K1495" s="498"/>
      <x:c r="L1495" s="498"/>
      <x:c r="M1495" s="498"/>
    </x:row>
    <x:row r="1496" ht="18" customHeight="1">
      <x:c r="A1496" s="498"/>
      <x:c r="B1496" s="498"/>
      <x:c r="C1496" s="498"/>
      <x:c r="D1496" s="498"/>
      <x:c r="E1496" s="498"/>
      <x:c r="F1496" s="498"/>
      <x:c r="G1496" s="498"/>
      <x:c r="H1496" s="498"/>
      <x:c r="I1496" s="498"/>
      <x:c r="J1496" s="498"/>
      <x:c r="K1496" s="498"/>
      <x:c r="L1496" s="498"/>
      <x:c r="M1496" s="498"/>
    </x:row>
    <x:row r="1497" ht="18" customHeight="1">
      <x:c r="A1497" s="498"/>
      <x:c r="B1497" s="498"/>
      <x:c r="C1497" s="498"/>
      <x:c r="D1497" s="498"/>
      <x:c r="E1497" s="498"/>
      <x:c r="F1497" s="498"/>
      <x:c r="G1497" s="498"/>
      <x:c r="H1497" s="498"/>
      <x:c r="I1497" s="498"/>
      <x:c r="J1497" s="498"/>
      <x:c r="K1497" s="498"/>
      <x:c r="L1497" s="498"/>
      <x:c r="M1497" s="498"/>
    </x:row>
    <x:row r="1498" ht="18" customHeight="1">
      <x:c r="A1498" s="498"/>
      <x:c r="B1498" s="498"/>
      <x:c r="C1498" s="498"/>
      <x:c r="D1498" s="498"/>
      <x:c r="E1498" s="498"/>
      <x:c r="F1498" s="498"/>
      <x:c r="G1498" s="498"/>
      <x:c r="H1498" s="498"/>
      <x:c r="I1498" s="498"/>
      <x:c r="J1498" s="498"/>
      <x:c r="K1498" s="498"/>
      <x:c r="L1498" s="498"/>
      <x:c r="M1498" s="498"/>
    </x:row>
    <x:row r="1499" ht="18" customHeight="1">
      <x:c r="A1499" s="498"/>
      <x:c r="B1499" s="498"/>
      <x:c r="C1499" s="498"/>
      <x:c r="D1499" s="498"/>
      <x:c r="E1499" s="498"/>
      <x:c r="F1499" s="498"/>
      <x:c r="G1499" s="498"/>
      <x:c r="H1499" s="498"/>
      <x:c r="I1499" s="498"/>
      <x:c r="J1499" s="498"/>
      <x:c r="K1499" s="498"/>
      <x:c r="L1499" s="498"/>
      <x:c r="M1499" s="498"/>
    </x:row>
    <x:row r="1500" ht="18" customHeight="1">
      <x:c r="A1500" s="498"/>
      <x:c r="B1500" s="498"/>
      <x:c r="C1500" s="498"/>
      <x:c r="D1500" s="498"/>
      <x:c r="E1500" s="498"/>
      <x:c r="F1500" s="498"/>
      <x:c r="G1500" s="498"/>
      <x:c r="H1500" s="498"/>
      <x:c r="I1500" s="498"/>
      <x:c r="J1500" s="498"/>
      <x:c r="K1500" s="498"/>
      <x:c r="L1500" s="498"/>
      <x:c r="M1500" s="498"/>
    </x:row>
    <x:row r="1501" ht="18" customHeight="1">
      <x:c r="A1501" s="498"/>
      <x:c r="B1501" s="498"/>
      <x:c r="C1501" s="498"/>
      <x:c r="D1501" s="498"/>
      <x:c r="E1501" s="498"/>
      <x:c r="F1501" s="498"/>
      <x:c r="G1501" s="498"/>
      <x:c r="H1501" s="498"/>
      <x:c r="I1501" s="498"/>
      <x:c r="J1501" s="498"/>
      <x:c r="K1501" s="498"/>
      <x:c r="L1501" s="498"/>
      <x:c r="M1501" s="498"/>
    </x:row>
    <x:row r="1502" ht="18" customHeight="1">
      <x:c r="A1502" s="498"/>
      <x:c r="B1502" s="498"/>
      <x:c r="C1502" s="498"/>
      <x:c r="D1502" s="498"/>
      <x:c r="E1502" s="498"/>
      <x:c r="F1502" s="498"/>
      <x:c r="G1502" s="498"/>
      <x:c r="H1502" s="498"/>
      <x:c r="I1502" s="498"/>
      <x:c r="J1502" s="498"/>
      <x:c r="K1502" s="498"/>
      <x:c r="L1502" s="498"/>
      <x:c r="M1502" s="498"/>
    </x:row>
    <x:row r="1503" ht="18" customHeight="1">
      <x:c r="A1503" s="498"/>
      <x:c r="B1503" s="498"/>
      <x:c r="C1503" s="498"/>
      <x:c r="D1503" s="498"/>
      <x:c r="E1503" s="498"/>
      <x:c r="F1503" s="498"/>
      <x:c r="G1503" s="498"/>
      <x:c r="H1503" s="498"/>
      <x:c r="I1503" s="498"/>
      <x:c r="J1503" s="498"/>
      <x:c r="K1503" s="498"/>
      <x:c r="L1503" s="498"/>
      <x:c r="M1503" s="498"/>
    </x:row>
    <x:row r="1504" ht="18" customHeight="1">
      <x:c r="A1504" s="498"/>
      <x:c r="B1504" s="498"/>
      <x:c r="C1504" s="498"/>
      <x:c r="D1504" s="498"/>
      <x:c r="E1504" s="498"/>
      <x:c r="F1504" s="498"/>
      <x:c r="G1504" s="498"/>
      <x:c r="H1504" s="498"/>
      <x:c r="I1504" s="498"/>
      <x:c r="J1504" s="498"/>
      <x:c r="K1504" s="498"/>
      <x:c r="L1504" s="498"/>
      <x:c r="M1504" s="498"/>
    </x:row>
    <x:row r="1505" ht="18" customHeight="1">
      <x:c r="A1505" s="498"/>
      <x:c r="B1505" s="498"/>
      <x:c r="C1505" s="498"/>
      <x:c r="D1505" s="498"/>
      <x:c r="E1505" s="498"/>
      <x:c r="F1505" s="498"/>
      <x:c r="G1505" s="498"/>
      <x:c r="H1505" s="498"/>
      <x:c r="I1505" s="498"/>
      <x:c r="J1505" s="498"/>
      <x:c r="K1505" s="498"/>
      <x:c r="L1505" s="498"/>
      <x:c r="M1505" s="498"/>
    </x:row>
    <x:row r="1506" ht="18" customHeight="1">
      <x:c r="A1506" s="498"/>
      <x:c r="B1506" s="498"/>
      <x:c r="C1506" s="498"/>
      <x:c r="D1506" s="498"/>
      <x:c r="E1506" s="498"/>
      <x:c r="F1506" s="498"/>
      <x:c r="G1506" s="498"/>
      <x:c r="H1506" s="498"/>
      <x:c r="I1506" s="498"/>
      <x:c r="J1506" s="498"/>
      <x:c r="K1506" s="498"/>
      <x:c r="L1506" s="498"/>
      <x:c r="M1506" s="498"/>
    </x:row>
    <x:row r="1507" ht="18" customHeight="1">
      <x:c r="A1507" s="498"/>
      <x:c r="B1507" s="498"/>
      <x:c r="C1507" s="498"/>
      <x:c r="D1507" s="498"/>
      <x:c r="E1507" s="498"/>
      <x:c r="F1507" s="498"/>
      <x:c r="G1507" s="498"/>
      <x:c r="H1507" s="498"/>
      <x:c r="I1507" s="498"/>
      <x:c r="J1507" s="498"/>
      <x:c r="K1507" s="498"/>
      <x:c r="L1507" s="498"/>
      <x:c r="M1507" s="498"/>
    </x:row>
    <x:row r="1508" ht="18" customHeight="1">
      <x:c r="A1508" s="498"/>
      <x:c r="B1508" s="498"/>
      <x:c r="C1508" s="498"/>
      <x:c r="D1508" s="498"/>
      <x:c r="E1508" s="498"/>
      <x:c r="F1508" s="498"/>
      <x:c r="G1508" s="498"/>
      <x:c r="H1508" s="498"/>
      <x:c r="I1508" s="498"/>
      <x:c r="J1508" s="498"/>
      <x:c r="K1508" s="498"/>
      <x:c r="L1508" s="498"/>
      <x:c r="M1508" s="498"/>
    </x:row>
    <x:row r="1509" ht="18" customHeight="1">
      <x:c r="A1509" s="498"/>
      <x:c r="B1509" s="498"/>
      <x:c r="C1509" s="498"/>
      <x:c r="D1509" s="498"/>
      <x:c r="E1509" s="498"/>
      <x:c r="F1509" s="498"/>
      <x:c r="G1509" s="498"/>
      <x:c r="H1509" s="498"/>
      <x:c r="I1509" s="498"/>
      <x:c r="J1509" s="498"/>
      <x:c r="K1509" s="498"/>
      <x:c r="L1509" s="498"/>
      <x:c r="M1509" s="498"/>
    </x:row>
    <x:row r="1510" ht="18" customHeight="1">
      <x:c r="A1510" s="498"/>
      <x:c r="B1510" s="498"/>
      <x:c r="C1510" s="498"/>
      <x:c r="D1510" s="498"/>
      <x:c r="E1510" s="498"/>
      <x:c r="F1510" s="498"/>
      <x:c r="G1510" s="498"/>
      <x:c r="H1510" s="498"/>
      <x:c r="I1510" s="498"/>
      <x:c r="J1510" s="498"/>
      <x:c r="K1510" s="498"/>
      <x:c r="L1510" s="498"/>
      <x:c r="M1510" s="498"/>
    </x:row>
    <x:row r="1511" ht="18" customHeight="1">
      <x:c r="A1511" s="498"/>
      <x:c r="B1511" s="498"/>
      <x:c r="C1511" s="498"/>
      <x:c r="D1511" s="498"/>
      <x:c r="E1511" s="498"/>
      <x:c r="F1511" s="498"/>
      <x:c r="G1511" s="498"/>
      <x:c r="H1511" s="498"/>
      <x:c r="I1511" s="498"/>
      <x:c r="J1511" s="498"/>
      <x:c r="K1511" s="498"/>
      <x:c r="L1511" s="498"/>
      <x:c r="M1511" s="498"/>
    </x:row>
    <x:row r="1512" ht="18" customHeight="1">
      <x:c r="A1512" s="498"/>
      <x:c r="B1512" s="498"/>
      <x:c r="C1512" s="498"/>
      <x:c r="D1512" s="498"/>
      <x:c r="E1512" s="498"/>
      <x:c r="F1512" s="498"/>
      <x:c r="G1512" s="498"/>
      <x:c r="H1512" s="498"/>
      <x:c r="I1512" s="498"/>
      <x:c r="J1512" s="498"/>
      <x:c r="K1512" s="498"/>
      <x:c r="L1512" s="498"/>
      <x:c r="M1512" s="498"/>
    </x:row>
    <x:row r="1513" ht="18" customHeight="1">
      <x:c r="A1513" s="498"/>
      <x:c r="B1513" s="498"/>
      <x:c r="C1513" s="498"/>
      <x:c r="D1513" s="498"/>
      <x:c r="E1513" s="498"/>
      <x:c r="F1513" s="498"/>
      <x:c r="G1513" s="498"/>
      <x:c r="H1513" s="498"/>
      <x:c r="I1513" s="498"/>
      <x:c r="J1513" s="498"/>
      <x:c r="K1513" s="498"/>
      <x:c r="L1513" s="498"/>
      <x:c r="M1513" s="498"/>
    </x:row>
    <x:row r="1514" ht="18" customHeight="1">
      <x:c r="A1514" s="498"/>
      <x:c r="B1514" s="498"/>
      <x:c r="C1514" s="498"/>
      <x:c r="D1514" s="498"/>
      <x:c r="E1514" s="498"/>
      <x:c r="F1514" s="498"/>
      <x:c r="G1514" s="498"/>
      <x:c r="H1514" s="498"/>
      <x:c r="I1514" s="498"/>
      <x:c r="J1514" s="498"/>
      <x:c r="K1514" s="498"/>
      <x:c r="L1514" s="498"/>
      <x:c r="M1514" s="498"/>
    </x:row>
    <x:row r="1515" ht="18" customHeight="1">
      <x:c r="A1515" s="498"/>
      <x:c r="B1515" s="498"/>
      <x:c r="C1515" s="498"/>
      <x:c r="D1515" s="498"/>
      <x:c r="E1515" s="498"/>
      <x:c r="F1515" s="498"/>
      <x:c r="G1515" s="498"/>
      <x:c r="H1515" s="498"/>
      <x:c r="I1515" s="498"/>
      <x:c r="J1515" s="498"/>
      <x:c r="K1515" s="498"/>
      <x:c r="L1515" s="498"/>
      <x:c r="M1515" s="498"/>
    </x:row>
    <x:row r="1516" ht="18" customHeight="1">
      <x:c r="A1516" s="498"/>
      <x:c r="B1516" s="498"/>
      <x:c r="C1516" s="498"/>
      <x:c r="D1516" s="498"/>
      <x:c r="E1516" s="498"/>
      <x:c r="F1516" s="498"/>
      <x:c r="G1516" s="498"/>
      <x:c r="H1516" s="498"/>
      <x:c r="I1516" s="498"/>
      <x:c r="J1516" s="498"/>
      <x:c r="K1516" s="498"/>
      <x:c r="L1516" s="498"/>
      <x:c r="M1516" s="498"/>
    </x:row>
    <x:row r="1517" ht="18" customHeight="1">
      <x:c r="A1517" s="498"/>
      <x:c r="B1517" s="498"/>
      <x:c r="C1517" s="498"/>
      <x:c r="D1517" s="498"/>
      <x:c r="E1517" s="498"/>
      <x:c r="F1517" s="498"/>
      <x:c r="G1517" s="498"/>
      <x:c r="H1517" s="498"/>
      <x:c r="I1517" s="498"/>
      <x:c r="J1517" s="498"/>
      <x:c r="K1517" s="498"/>
      <x:c r="L1517" s="498"/>
      <x:c r="M1517" s="498"/>
    </x:row>
    <x:row r="1518" ht="18" customHeight="1">
      <x:c r="A1518" s="498"/>
      <x:c r="B1518" s="498"/>
      <x:c r="C1518" s="498"/>
      <x:c r="D1518" s="498"/>
      <x:c r="E1518" s="498"/>
      <x:c r="F1518" s="498"/>
      <x:c r="G1518" s="498"/>
      <x:c r="H1518" s="498"/>
      <x:c r="I1518" s="498"/>
      <x:c r="J1518" s="498"/>
      <x:c r="K1518" s="498"/>
      <x:c r="L1518" s="498"/>
      <x:c r="M1518" s="498"/>
    </x:row>
    <x:row r="1519" ht="18" customHeight="1">
      <x:c r="A1519" s="498"/>
      <x:c r="B1519" s="498"/>
      <x:c r="C1519" s="498"/>
      <x:c r="D1519" s="498"/>
      <x:c r="E1519" s="498"/>
      <x:c r="F1519" s="498"/>
      <x:c r="G1519" s="498"/>
      <x:c r="H1519" s="498"/>
      <x:c r="I1519" s="498"/>
      <x:c r="J1519" s="498"/>
      <x:c r="K1519" s="498"/>
      <x:c r="L1519" s="498"/>
      <x:c r="M1519" s="498"/>
    </x:row>
    <x:row r="1520" ht="18" customHeight="1">
      <x:c r="A1520" s="498"/>
      <x:c r="B1520" s="498"/>
      <x:c r="C1520" s="498"/>
      <x:c r="D1520" s="498"/>
      <x:c r="E1520" s="498"/>
      <x:c r="F1520" s="498"/>
      <x:c r="G1520" s="498"/>
      <x:c r="H1520" s="498"/>
      <x:c r="I1520" s="498"/>
      <x:c r="J1520" s="498"/>
      <x:c r="K1520" s="498"/>
      <x:c r="L1520" s="498"/>
      <x:c r="M1520" s="498"/>
    </x:row>
    <x:row r="1521" ht="18" customHeight="1">
      <x:c r="A1521" s="498"/>
      <x:c r="B1521" s="498"/>
      <x:c r="C1521" s="498"/>
      <x:c r="D1521" s="498"/>
      <x:c r="E1521" s="498"/>
      <x:c r="F1521" s="498"/>
      <x:c r="G1521" s="498"/>
      <x:c r="H1521" s="498"/>
      <x:c r="I1521" s="498"/>
      <x:c r="J1521" s="498"/>
      <x:c r="K1521" s="498"/>
      <x:c r="L1521" s="498"/>
      <x:c r="M1521" s="498"/>
    </x:row>
    <x:row r="1522" ht="18" customHeight="1">
      <x:c r="A1522" s="498"/>
      <x:c r="B1522" s="498"/>
      <x:c r="C1522" s="498"/>
      <x:c r="D1522" s="498"/>
      <x:c r="E1522" s="498"/>
      <x:c r="F1522" s="498"/>
      <x:c r="G1522" s="498"/>
      <x:c r="H1522" s="498"/>
      <x:c r="I1522" s="498"/>
      <x:c r="J1522" s="498"/>
      <x:c r="K1522" s="498"/>
      <x:c r="L1522" s="498"/>
      <x:c r="M1522" s="498"/>
    </x:row>
    <x:row r="1523" ht="18" customHeight="1">
      <x:c r="A1523" s="498"/>
      <x:c r="B1523" s="498"/>
      <x:c r="C1523" s="498"/>
      <x:c r="D1523" s="498"/>
      <x:c r="E1523" s="498"/>
      <x:c r="F1523" s="498"/>
      <x:c r="G1523" s="498"/>
      <x:c r="H1523" s="498"/>
      <x:c r="I1523" s="498"/>
      <x:c r="J1523" s="498"/>
      <x:c r="K1523" s="498"/>
      <x:c r="L1523" s="498"/>
      <x:c r="M1523" s="498"/>
    </x:row>
    <x:row r="1524" ht="18" customHeight="1">
      <x:c r="A1524" s="498"/>
      <x:c r="B1524" s="498"/>
      <x:c r="C1524" s="498"/>
      <x:c r="D1524" s="498"/>
      <x:c r="E1524" s="498"/>
      <x:c r="F1524" s="498"/>
      <x:c r="G1524" s="498"/>
      <x:c r="H1524" s="498"/>
      <x:c r="I1524" s="498"/>
      <x:c r="J1524" s="498"/>
      <x:c r="K1524" s="498"/>
      <x:c r="L1524" s="498"/>
      <x:c r="M1524" s="498"/>
    </x:row>
    <x:row r="1525" ht="18" customHeight="1">
      <x:c r="A1525" s="498"/>
      <x:c r="B1525" s="498"/>
      <x:c r="C1525" s="498"/>
      <x:c r="D1525" s="498"/>
      <x:c r="E1525" s="498"/>
      <x:c r="F1525" s="498"/>
      <x:c r="G1525" s="498"/>
      <x:c r="H1525" s="498"/>
      <x:c r="I1525" s="498"/>
      <x:c r="J1525" s="498"/>
      <x:c r="K1525" s="498"/>
      <x:c r="L1525" s="498"/>
      <x:c r="M1525" s="498"/>
    </x:row>
    <x:row r="1526" ht="18" customHeight="1">
      <x:c r="A1526" s="498"/>
      <x:c r="B1526" s="498"/>
      <x:c r="C1526" s="498"/>
      <x:c r="D1526" s="498"/>
      <x:c r="E1526" s="498"/>
      <x:c r="F1526" s="498"/>
      <x:c r="G1526" s="498"/>
      <x:c r="H1526" s="498"/>
      <x:c r="I1526" s="498"/>
      <x:c r="J1526" s="498"/>
      <x:c r="K1526" s="498"/>
      <x:c r="L1526" s="498"/>
      <x:c r="M1526" s="498"/>
    </x:row>
    <x:row r="1527" ht="18" customHeight="1">
      <x:c r="A1527" s="498"/>
      <x:c r="B1527" s="498"/>
      <x:c r="C1527" s="498"/>
      <x:c r="D1527" s="498"/>
      <x:c r="E1527" s="498"/>
      <x:c r="F1527" s="498"/>
      <x:c r="G1527" s="498"/>
      <x:c r="H1527" s="498"/>
      <x:c r="I1527" s="498"/>
      <x:c r="J1527" s="498"/>
      <x:c r="K1527" s="498"/>
      <x:c r="L1527" s="498"/>
      <x:c r="M1527" s="498"/>
    </x:row>
    <x:row r="1528" ht="18" customHeight="1">
      <x:c r="A1528" s="498"/>
      <x:c r="B1528" s="498"/>
      <x:c r="C1528" s="498"/>
      <x:c r="D1528" s="498"/>
      <x:c r="E1528" s="498"/>
      <x:c r="F1528" s="498"/>
      <x:c r="G1528" s="498"/>
      <x:c r="H1528" s="498"/>
      <x:c r="I1528" s="498"/>
      <x:c r="J1528" s="498"/>
      <x:c r="K1528" s="498"/>
      <x:c r="L1528" s="498"/>
      <x:c r="M1528" s="498"/>
    </x:row>
    <x:row r="1529" ht="18" customHeight="1">
      <x:c r="A1529" s="498"/>
      <x:c r="B1529" s="498"/>
      <x:c r="C1529" s="498"/>
      <x:c r="D1529" s="498"/>
      <x:c r="E1529" s="498"/>
      <x:c r="F1529" s="498"/>
      <x:c r="G1529" s="498"/>
      <x:c r="H1529" s="498"/>
      <x:c r="I1529" s="498"/>
      <x:c r="J1529" s="498"/>
      <x:c r="K1529" s="498"/>
      <x:c r="L1529" s="498"/>
      <x:c r="M1529" s="498"/>
    </x:row>
    <x:row r="1530" ht="18" customHeight="1">
      <x:c r="A1530" s="498"/>
      <x:c r="B1530" s="498"/>
      <x:c r="C1530" s="498"/>
      <x:c r="D1530" s="498"/>
      <x:c r="E1530" s="498"/>
      <x:c r="F1530" s="498"/>
      <x:c r="G1530" s="498"/>
      <x:c r="H1530" s="498"/>
      <x:c r="I1530" s="498"/>
      <x:c r="J1530" s="498"/>
      <x:c r="K1530" s="498"/>
      <x:c r="L1530" s="498"/>
      <x:c r="M1530" s="498"/>
    </x:row>
    <x:row r="1531" ht="18" customHeight="1">
      <x:c r="A1531" s="498"/>
      <x:c r="B1531" s="498"/>
      <x:c r="C1531" s="498"/>
      <x:c r="D1531" s="498"/>
      <x:c r="E1531" s="498"/>
      <x:c r="F1531" s="498"/>
      <x:c r="G1531" s="498"/>
      <x:c r="H1531" s="498"/>
      <x:c r="I1531" s="498"/>
      <x:c r="J1531" s="498"/>
      <x:c r="K1531" s="498"/>
      <x:c r="L1531" s="498"/>
      <x:c r="M1531" s="498"/>
    </x:row>
    <x:row r="1532" ht="18" customHeight="1">
      <x:c r="A1532" s="498"/>
      <x:c r="B1532" s="498"/>
      <x:c r="C1532" s="498"/>
      <x:c r="D1532" s="498"/>
      <x:c r="E1532" s="498"/>
      <x:c r="F1532" s="498"/>
      <x:c r="G1532" s="498"/>
      <x:c r="H1532" s="498"/>
      <x:c r="I1532" s="498"/>
      <x:c r="J1532" s="498"/>
      <x:c r="K1532" s="498"/>
      <x:c r="L1532" s="498"/>
      <x:c r="M1532" s="498"/>
    </x:row>
    <x:row r="1533" ht="18" customHeight="1">
      <x:c r="A1533" s="498"/>
      <x:c r="B1533" s="498"/>
      <x:c r="C1533" s="498"/>
      <x:c r="D1533" s="498"/>
      <x:c r="E1533" s="498"/>
      <x:c r="F1533" s="498"/>
      <x:c r="G1533" s="498"/>
      <x:c r="H1533" s="498"/>
      <x:c r="I1533" s="498"/>
      <x:c r="J1533" s="498"/>
      <x:c r="K1533" s="498"/>
      <x:c r="L1533" s="498"/>
      <x:c r="M1533" s="498"/>
    </x:row>
    <x:row r="1534" ht="18" customHeight="1">
      <x:c r="A1534" s="498"/>
      <x:c r="B1534" s="498"/>
      <x:c r="C1534" s="498"/>
      <x:c r="D1534" s="498"/>
      <x:c r="E1534" s="498"/>
      <x:c r="F1534" s="498"/>
      <x:c r="G1534" s="498"/>
      <x:c r="H1534" s="498"/>
      <x:c r="I1534" s="498"/>
      <x:c r="J1534" s="498"/>
      <x:c r="K1534" s="498"/>
      <x:c r="L1534" s="498"/>
      <x:c r="M1534" s="498"/>
    </x:row>
    <x:row r="1535" ht="18" customHeight="1">
      <x:c r="A1535" s="498"/>
      <x:c r="B1535" s="498"/>
      <x:c r="C1535" s="498"/>
      <x:c r="D1535" s="498"/>
      <x:c r="E1535" s="498"/>
      <x:c r="F1535" s="498"/>
      <x:c r="G1535" s="498"/>
      <x:c r="H1535" s="498"/>
      <x:c r="I1535" s="498"/>
      <x:c r="J1535" s="498"/>
      <x:c r="K1535" s="498"/>
      <x:c r="L1535" s="498"/>
      <x:c r="M1535" s="498"/>
    </x:row>
    <x:row r="1536" ht="18" customHeight="1">
      <x:c r="A1536" s="498"/>
      <x:c r="B1536" s="498"/>
      <x:c r="C1536" s="498"/>
      <x:c r="D1536" s="498"/>
      <x:c r="E1536" s="498"/>
      <x:c r="F1536" s="498"/>
      <x:c r="G1536" s="498"/>
      <x:c r="H1536" s="498"/>
      <x:c r="I1536" s="498"/>
      <x:c r="J1536" s="498"/>
      <x:c r="K1536" s="498"/>
      <x:c r="L1536" s="498"/>
      <x:c r="M1536" s="498"/>
    </x:row>
    <x:row r="1537" ht="18" customHeight="1">
      <x:c r="A1537" s="498"/>
      <x:c r="B1537" s="498"/>
      <x:c r="C1537" s="498"/>
      <x:c r="D1537" s="498"/>
      <x:c r="E1537" s="498"/>
      <x:c r="F1537" s="498"/>
      <x:c r="G1537" s="498"/>
      <x:c r="H1537" s="498"/>
      <x:c r="I1537" s="498"/>
      <x:c r="J1537" s="498"/>
      <x:c r="K1537" s="498"/>
      <x:c r="L1537" s="498"/>
      <x:c r="M1537" s="498"/>
    </x:row>
    <x:row r="1538" ht="18" customHeight="1">
      <x:c r="A1538" s="498"/>
      <x:c r="B1538" s="498"/>
      <x:c r="C1538" s="498"/>
      <x:c r="D1538" s="498"/>
      <x:c r="E1538" s="498"/>
      <x:c r="F1538" s="498"/>
      <x:c r="G1538" s="498"/>
      <x:c r="H1538" s="498"/>
      <x:c r="I1538" s="498"/>
      <x:c r="J1538" s="498"/>
      <x:c r="K1538" s="498"/>
      <x:c r="L1538" s="498"/>
      <x:c r="M1538" s="498"/>
    </x:row>
    <x:row r="1539" ht="18" customHeight="1">
      <x:c r="A1539" s="498"/>
      <x:c r="B1539" s="498"/>
      <x:c r="C1539" s="498"/>
      <x:c r="D1539" s="498"/>
      <x:c r="E1539" s="498"/>
      <x:c r="F1539" s="498"/>
      <x:c r="G1539" s="498"/>
      <x:c r="H1539" s="498"/>
      <x:c r="I1539" s="498"/>
      <x:c r="J1539" s="498"/>
      <x:c r="K1539" s="498"/>
      <x:c r="L1539" s="498"/>
      <x:c r="M1539" s="498"/>
    </x:row>
    <x:row r="1540" ht="18" customHeight="1">
      <x:c r="A1540" s="498"/>
      <x:c r="B1540" s="498"/>
      <x:c r="C1540" s="498"/>
      <x:c r="D1540" s="498"/>
      <x:c r="E1540" s="498"/>
      <x:c r="F1540" s="498"/>
      <x:c r="G1540" s="498"/>
      <x:c r="H1540" s="498"/>
      <x:c r="I1540" s="498"/>
      <x:c r="J1540" s="498"/>
      <x:c r="K1540" s="498"/>
      <x:c r="L1540" s="498"/>
      <x:c r="M1540" s="498"/>
    </x:row>
    <x:row r="1541" ht="18" customHeight="1">
      <x:c r="A1541" s="498"/>
      <x:c r="B1541" s="498"/>
      <x:c r="C1541" s="498"/>
      <x:c r="D1541" s="498"/>
      <x:c r="E1541" s="498"/>
      <x:c r="F1541" s="498"/>
      <x:c r="G1541" s="498"/>
      <x:c r="H1541" s="498"/>
      <x:c r="I1541" s="498"/>
      <x:c r="J1541" s="498"/>
      <x:c r="K1541" s="498"/>
      <x:c r="L1541" s="498"/>
      <x:c r="M1541" s="498"/>
    </x:row>
    <x:row r="1542" ht="18" customHeight="1">
      <x:c r="A1542" s="498"/>
      <x:c r="B1542" s="498"/>
      <x:c r="C1542" s="498"/>
      <x:c r="D1542" s="498"/>
      <x:c r="E1542" s="498"/>
      <x:c r="F1542" s="498"/>
      <x:c r="G1542" s="498"/>
      <x:c r="H1542" s="498"/>
      <x:c r="I1542" s="498"/>
      <x:c r="J1542" s="498"/>
      <x:c r="K1542" s="498"/>
      <x:c r="L1542" s="498"/>
      <x:c r="M1542" s="498"/>
    </x:row>
    <x:row r="1543" ht="18" customHeight="1">
      <x:c r="A1543" s="498"/>
      <x:c r="B1543" s="498"/>
      <x:c r="C1543" s="498"/>
      <x:c r="D1543" s="498"/>
      <x:c r="E1543" s="498"/>
      <x:c r="F1543" s="498"/>
      <x:c r="G1543" s="498"/>
      <x:c r="H1543" s="498"/>
      <x:c r="I1543" s="498"/>
      <x:c r="J1543" s="498"/>
      <x:c r="K1543" s="498"/>
      <x:c r="L1543" s="498"/>
      <x:c r="M1543" s="498"/>
    </x:row>
    <x:row r="1544" ht="18" customHeight="1">
      <x:c r="A1544" s="498"/>
      <x:c r="B1544" s="498"/>
      <x:c r="C1544" s="498"/>
      <x:c r="D1544" s="498"/>
      <x:c r="E1544" s="498"/>
      <x:c r="F1544" s="498"/>
      <x:c r="G1544" s="498"/>
      <x:c r="H1544" s="498"/>
      <x:c r="I1544" s="498"/>
      <x:c r="J1544" s="498"/>
      <x:c r="K1544" s="498"/>
      <x:c r="L1544" s="498"/>
      <x:c r="M1544" s="498"/>
    </x:row>
    <x:row r="1545" ht="18" customHeight="1">
      <x:c r="A1545" s="498"/>
      <x:c r="B1545" s="498"/>
      <x:c r="C1545" s="498"/>
      <x:c r="D1545" s="498"/>
      <x:c r="E1545" s="498"/>
      <x:c r="F1545" s="498"/>
      <x:c r="G1545" s="498"/>
      <x:c r="H1545" s="498"/>
      <x:c r="I1545" s="498"/>
      <x:c r="J1545" s="498"/>
      <x:c r="K1545" s="498"/>
      <x:c r="L1545" s="498"/>
      <x:c r="M1545" s="498"/>
    </x:row>
    <x:row r="1546" ht="18" customHeight="1">
      <x:c r="A1546" s="498"/>
      <x:c r="B1546" s="498"/>
      <x:c r="C1546" s="498"/>
      <x:c r="D1546" s="498"/>
      <x:c r="E1546" s="498"/>
      <x:c r="F1546" s="498"/>
      <x:c r="G1546" s="498"/>
      <x:c r="H1546" s="498"/>
      <x:c r="I1546" s="498"/>
      <x:c r="J1546" s="498"/>
      <x:c r="K1546" s="498"/>
      <x:c r="L1546" s="498"/>
      <x:c r="M1546" s="498"/>
    </x:row>
    <x:row r="1547" ht="18" customHeight="1">
      <x:c r="A1547" s="498"/>
      <x:c r="B1547" s="498"/>
      <x:c r="C1547" s="498"/>
      <x:c r="D1547" s="498"/>
      <x:c r="E1547" s="498"/>
      <x:c r="F1547" s="498"/>
      <x:c r="G1547" s="498"/>
      <x:c r="H1547" s="498"/>
      <x:c r="I1547" s="498"/>
      <x:c r="J1547" s="498"/>
      <x:c r="K1547" s="498"/>
      <x:c r="L1547" s="498"/>
      <x:c r="M1547" s="498"/>
    </x:row>
    <x:row r="1548" ht="18" customHeight="1">
      <x:c r="A1548" s="498"/>
      <x:c r="B1548" s="498"/>
      <x:c r="C1548" s="498"/>
      <x:c r="D1548" s="498"/>
      <x:c r="E1548" s="498"/>
      <x:c r="F1548" s="498"/>
      <x:c r="G1548" s="498"/>
      <x:c r="H1548" s="498"/>
      <x:c r="I1548" s="498"/>
      <x:c r="J1548" s="498"/>
      <x:c r="K1548" s="498"/>
      <x:c r="L1548" s="498"/>
      <x:c r="M1548" s="498"/>
    </x:row>
    <x:row r="1549" ht="18" customHeight="1">
      <x:c r="A1549" s="498"/>
      <x:c r="B1549" s="498"/>
      <x:c r="C1549" s="498"/>
      <x:c r="D1549" s="498"/>
      <x:c r="E1549" s="498"/>
      <x:c r="F1549" s="498"/>
      <x:c r="G1549" s="498"/>
      <x:c r="H1549" s="498"/>
      <x:c r="I1549" s="498"/>
      <x:c r="J1549" s="498"/>
      <x:c r="K1549" s="498"/>
      <x:c r="L1549" s="498"/>
      <x:c r="M1549" s="498"/>
    </x:row>
    <x:row r="1550" ht="18" customHeight="1">
      <x:c r="A1550" s="498"/>
      <x:c r="B1550" s="498"/>
      <x:c r="C1550" s="498"/>
      <x:c r="D1550" s="498"/>
      <x:c r="E1550" s="498"/>
      <x:c r="F1550" s="498"/>
      <x:c r="G1550" s="498"/>
      <x:c r="H1550" s="498"/>
      <x:c r="I1550" s="498"/>
      <x:c r="J1550" s="498"/>
      <x:c r="K1550" s="498"/>
      <x:c r="L1550" s="498"/>
      <x:c r="M1550" s="498"/>
    </x:row>
    <x:row r="1551" ht="18" customHeight="1">
      <x:c r="A1551" s="498"/>
      <x:c r="B1551" s="498"/>
      <x:c r="C1551" s="498"/>
      <x:c r="D1551" s="498"/>
      <x:c r="E1551" s="498"/>
      <x:c r="F1551" s="498"/>
      <x:c r="G1551" s="498"/>
      <x:c r="H1551" s="498"/>
      <x:c r="I1551" s="498"/>
      <x:c r="J1551" s="498"/>
      <x:c r="K1551" s="498"/>
      <x:c r="L1551" s="498"/>
      <x:c r="M1551" s="498"/>
    </x:row>
    <x:row r="1552" ht="18" customHeight="1">
      <x:c r="A1552" s="498"/>
      <x:c r="B1552" s="498"/>
      <x:c r="C1552" s="498"/>
      <x:c r="D1552" s="498"/>
      <x:c r="E1552" s="498"/>
      <x:c r="F1552" s="498"/>
      <x:c r="G1552" s="498"/>
      <x:c r="H1552" s="498"/>
      <x:c r="I1552" s="498"/>
      <x:c r="J1552" s="498"/>
      <x:c r="K1552" s="498"/>
      <x:c r="L1552" s="498"/>
      <x:c r="M1552" s="498"/>
    </x:row>
    <x:row r="1553" ht="18" customHeight="1">
      <x:c r="A1553" s="498"/>
      <x:c r="B1553" s="498"/>
      <x:c r="C1553" s="498"/>
      <x:c r="D1553" s="498"/>
      <x:c r="E1553" s="498"/>
      <x:c r="F1553" s="498"/>
      <x:c r="G1553" s="498"/>
      <x:c r="H1553" s="498"/>
      <x:c r="I1553" s="498"/>
      <x:c r="J1553" s="498"/>
      <x:c r="K1553" s="498"/>
      <x:c r="L1553" s="498"/>
      <x:c r="M1553" s="498"/>
    </x:row>
    <x:row r="1554" ht="18" customHeight="1">
      <x:c r="A1554" s="498"/>
      <x:c r="B1554" s="498"/>
      <x:c r="C1554" s="498"/>
      <x:c r="D1554" s="498"/>
      <x:c r="E1554" s="498"/>
      <x:c r="F1554" s="498"/>
      <x:c r="G1554" s="498"/>
      <x:c r="H1554" s="498"/>
      <x:c r="I1554" s="498"/>
      <x:c r="J1554" s="498"/>
      <x:c r="K1554" s="498"/>
      <x:c r="L1554" s="498"/>
      <x:c r="M1554" s="498"/>
    </x:row>
    <x:row r="1555" ht="18" customHeight="1">
      <x:c r="A1555" s="498"/>
      <x:c r="B1555" s="498"/>
      <x:c r="C1555" s="498"/>
      <x:c r="D1555" s="498"/>
      <x:c r="E1555" s="498"/>
      <x:c r="F1555" s="498"/>
      <x:c r="G1555" s="498"/>
      <x:c r="H1555" s="498"/>
      <x:c r="I1555" s="498"/>
      <x:c r="J1555" s="498"/>
      <x:c r="K1555" s="498"/>
      <x:c r="L1555" s="498"/>
      <x:c r="M1555" s="498"/>
    </x:row>
    <x:row r="1556" ht="18" customHeight="1">
      <x:c r="A1556" s="498"/>
      <x:c r="B1556" s="498"/>
      <x:c r="C1556" s="498"/>
      <x:c r="D1556" s="498"/>
      <x:c r="E1556" s="498"/>
      <x:c r="F1556" s="498"/>
      <x:c r="G1556" s="498"/>
      <x:c r="H1556" s="498"/>
      <x:c r="I1556" s="498"/>
      <x:c r="J1556" s="498"/>
      <x:c r="K1556" s="498"/>
      <x:c r="L1556" s="498"/>
      <x:c r="M1556" s="498"/>
    </x:row>
    <x:row r="1557" ht="18" customHeight="1">
      <x:c r="A1557" s="498"/>
      <x:c r="B1557" s="498"/>
      <x:c r="C1557" s="498"/>
      <x:c r="D1557" s="498"/>
      <x:c r="E1557" s="498"/>
      <x:c r="F1557" s="498"/>
      <x:c r="G1557" s="498"/>
      <x:c r="H1557" s="498"/>
      <x:c r="I1557" s="498"/>
      <x:c r="J1557" s="498"/>
      <x:c r="K1557" s="498"/>
      <x:c r="L1557" s="498"/>
      <x:c r="M1557" s="498"/>
    </x:row>
    <x:row r="1558" ht="18" customHeight="1">
      <x:c r="A1558" s="498"/>
      <x:c r="B1558" s="498"/>
      <x:c r="C1558" s="498"/>
      <x:c r="D1558" s="498"/>
      <x:c r="E1558" s="498"/>
      <x:c r="F1558" s="498"/>
      <x:c r="G1558" s="498"/>
      <x:c r="H1558" s="498"/>
      <x:c r="I1558" s="498"/>
      <x:c r="J1558" s="498"/>
      <x:c r="K1558" s="498"/>
      <x:c r="L1558" s="498"/>
      <x:c r="M1558" s="498"/>
    </x:row>
    <x:row r="1559" ht="18" customHeight="1">
      <x:c r="A1559" s="498"/>
      <x:c r="B1559" s="498"/>
      <x:c r="C1559" s="498"/>
      <x:c r="D1559" s="498"/>
      <x:c r="E1559" s="498"/>
      <x:c r="F1559" s="498"/>
      <x:c r="G1559" s="498"/>
      <x:c r="H1559" s="498"/>
      <x:c r="I1559" s="498"/>
      <x:c r="J1559" s="498"/>
      <x:c r="K1559" s="498"/>
      <x:c r="L1559" s="498"/>
      <x:c r="M1559" s="498"/>
    </x:row>
    <x:row r="1560" ht="18" customHeight="1">
      <x:c r="A1560" s="498"/>
      <x:c r="B1560" s="498"/>
      <x:c r="C1560" s="498"/>
      <x:c r="D1560" s="498"/>
      <x:c r="E1560" s="498"/>
      <x:c r="F1560" s="498"/>
      <x:c r="G1560" s="498"/>
      <x:c r="H1560" s="498"/>
      <x:c r="I1560" s="498"/>
      <x:c r="J1560" s="498"/>
      <x:c r="K1560" s="498"/>
      <x:c r="L1560" s="498"/>
      <x:c r="M1560" s="498"/>
    </x:row>
    <x:row r="1561" ht="18" customHeight="1">
      <x:c r="A1561" s="498"/>
      <x:c r="B1561" s="498"/>
      <x:c r="C1561" s="498"/>
      <x:c r="D1561" s="498"/>
      <x:c r="E1561" s="498"/>
      <x:c r="F1561" s="498"/>
      <x:c r="G1561" s="498"/>
      <x:c r="H1561" s="498"/>
      <x:c r="I1561" s="498"/>
      <x:c r="J1561" s="498"/>
      <x:c r="K1561" s="498"/>
      <x:c r="L1561" s="498"/>
      <x:c r="M1561" s="498"/>
    </x:row>
    <x:row r="1562" ht="18" customHeight="1">
      <x:c r="A1562" s="498"/>
      <x:c r="B1562" s="498"/>
      <x:c r="C1562" s="498"/>
      <x:c r="D1562" s="498"/>
      <x:c r="E1562" s="498"/>
      <x:c r="F1562" s="498"/>
      <x:c r="G1562" s="498"/>
      <x:c r="H1562" s="498"/>
      <x:c r="I1562" s="498"/>
      <x:c r="J1562" s="498"/>
      <x:c r="K1562" s="498"/>
      <x:c r="L1562" s="498"/>
      <x:c r="M1562" s="498"/>
    </x:row>
    <x:row r="1563" ht="18" customHeight="1">
      <x:c r="A1563" s="498"/>
      <x:c r="B1563" s="498"/>
      <x:c r="C1563" s="498"/>
      <x:c r="D1563" s="498"/>
      <x:c r="E1563" s="498"/>
      <x:c r="F1563" s="498"/>
      <x:c r="G1563" s="498"/>
      <x:c r="H1563" s="498"/>
      <x:c r="I1563" s="498"/>
      <x:c r="J1563" s="498"/>
      <x:c r="K1563" s="498"/>
      <x:c r="L1563" s="498"/>
      <x:c r="M1563" s="498"/>
    </x:row>
    <x:row r="1564" ht="18" customHeight="1">
      <x:c r="A1564" s="498"/>
      <x:c r="B1564" s="498"/>
      <x:c r="C1564" s="498"/>
      <x:c r="D1564" s="498"/>
      <x:c r="E1564" s="498"/>
      <x:c r="F1564" s="498"/>
      <x:c r="G1564" s="498"/>
      <x:c r="H1564" s="498"/>
      <x:c r="I1564" s="498"/>
      <x:c r="J1564" s="498"/>
      <x:c r="K1564" s="498"/>
      <x:c r="L1564" s="498"/>
      <x:c r="M1564" s="498"/>
    </x:row>
    <x:row r="1565" ht="18" customHeight="1">
      <x:c r="A1565" s="498"/>
      <x:c r="B1565" s="498"/>
      <x:c r="C1565" s="498"/>
      <x:c r="D1565" s="498"/>
      <x:c r="E1565" s="498"/>
      <x:c r="F1565" s="498"/>
      <x:c r="G1565" s="498"/>
      <x:c r="H1565" s="498"/>
      <x:c r="I1565" s="498"/>
      <x:c r="J1565" s="498"/>
      <x:c r="K1565" s="498"/>
      <x:c r="L1565" s="498"/>
      <x:c r="M1565" s="498"/>
    </x:row>
    <x:row r="1566" ht="18" customHeight="1">
      <x:c r="A1566" s="498"/>
      <x:c r="B1566" s="498"/>
      <x:c r="C1566" s="498"/>
      <x:c r="D1566" s="498"/>
      <x:c r="E1566" s="498"/>
      <x:c r="F1566" s="498"/>
      <x:c r="G1566" s="498"/>
      <x:c r="H1566" s="498"/>
      <x:c r="I1566" s="498"/>
      <x:c r="J1566" s="498"/>
      <x:c r="K1566" s="498"/>
      <x:c r="L1566" s="498"/>
      <x:c r="M1566" s="498"/>
    </x:row>
    <x:row r="1567" ht="18" customHeight="1">
      <x:c r="A1567" s="498"/>
      <x:c r="B1567" s="498"/>
      <x:c r="C1567" s="498"/>
      <x:c r="D1567" s="498"/>
      <x:c r="E1567" s="498"/>
      <x:c r="F1567" s="498"/>
      <x:c r="G1567" s="498"/>
      <x:c r="H1567" s="498"/>
      <x:c r="I1567" s="498"/>
      <x:c r="J1567" s="498"/>
      <x:c r="K1567" s="498"/>
      <x:c r="L1567" s="498"/>
      <x:c r="M1567" s="498"/>
    </x:row>
    <x:row r="1568" ht="18" customHeight="1">
      <x:c r="A1568" s="498"/>
      <x:c r="B1568" s="498"/>
      <x:c r="C1568" s="498"/>
      <x:c r="D1568" s="498"/>
      <x:c r="E1568" s="498"/>
      <x:c r="F1568" s="498"/>
      <x:c r="G1568" s="498"/>
      <x:c r="H1568" s="498"/>
      <x:c r="I1568" s="498"/>
      <x:c r="J1568" s="498"/>
      <x:c r="K1568" s="498"/>
      <x:c r="L1568" s="498"/>
      <x:c r="M1568" s="498"/>
    </x:row>
    <x:row r="1569" ht="18" customHeight="1">
      <x:c r="A1569" s="498"/>
      <x:c r="B1569" s="498"/>
      <x:c r="C1569" s="498"/>
      <x:c r="D1569" s="498"/>
      <x:c r="E1569" s="498"/>
      <x:c r="F1569" s="498"/>
      <x:c r="G1569" s="498"/>
      <x:c r="H1569" s="498"/>
      <x:c r="I1569" s="498"/>
      <x:c r="J1569" s="498"/>
      <x:c r="K1569" s="498"/>
      <x:c r="L1569" s="498"/>
      <x:c r="M1569" s="498"/>
    </x:row>
    <x:row r="1570" ht="18" customHeight="1">
      <x:c r="A1570" s="498"/>
      <x:c r="B1570" s="498"/>
      <x:c r="C1570" s="498"/>
      <x:c r="D1570" s="498"/>
      <x:c r="E1570" s="498"/>
      <x:c r="F1570" s="498"/>
      <x:c r="G1570" s="498"/>
      <x:c r="H1570" s="498"/>
      <x:c r="I1570" s="498"/>
      <x:c r="J1570" s="498"/>
      <x:c r="K1570" s="498"/>
      <x:c r="L1570" s="498"/>
      <x:c r="M1570" s="498"/>
    </x:row>
    <x:row r="1571" ht="18" customHeight="1">
      <x:c r="A1571" s="498"/>
      <x:c r="B1571" s="498"/>
      <x:c r="C1571" s="498"/>
      <x:c r="D1571" s="498"/>
      <x:c r="E1571" s="498"/>
      <x:c r="F1571" s="498"/>
      <x:c r="G1571" s="498"/>
      <x:c r="H1571" s="498"/>
      <x:c r="I1571" s="498"/>
      <x:c r="J1571" s="498"/>
      <x:c r="K1571" s="498"/>
      <x:c r="L1571" s="498"/>
      <x:c r="M1571" s="498"/>
    </x:row>
    <x:row r="1572" ht="18" customHeight="1">
      <x:c r="A1572" s="498"/>
      <x:c r="B1572" s="498"/>
      <x:c r="C1572" s="498"/>
      <x:c r="D1572" s="498"/>
      <x:c r="E1572" s="498"/>
      <x:c r="F1572" s="498"/>
      <x:c r="G1572" s="498"/>
      <x:c r="H1572" s="498"/>
      <x:c r="I1572" s="498"/>
      <x:c r="J1572" s="498"/>
      <x:c r="K1572" s="498"/>
      <x:c r="L1572" s="498"/>
      <x:c r="M1572" s="498"/>
    </x:row>
    <x:row r="1573" ht="18" customHeight="1">
      <x:c r="A1573" s="498"/>
      <x:c r="B1573" s="498"/>
      <x:c r="C1573" s="498"/>
      <x:c r="D1573" s="498"/>
      <x:c r="E1573" s="498"/>
      <x:c r="F1573" s="498"/>
      <x:c r="G1573" s="498"/>
      <x:c r="H1573" s="498"/>
      <x:c r="I1573" s="498"/>
      <x:c r="J1573" s="498"/>
      <x:c r="K1573" s="498"/>
      <x:c r="L1573" s="498"/>
      <x:c r="M1573" s="498"/>
    </x:row>
    <x:row r="1574" ht="18" customHeight="1">
      <x:c r="A1574" s="498"/>
      <x:c r="B1574" s="498"/>
      <x:c r="C1574" s="498"/>
      <x:c r="D1574" s="498"/>
      <x:c r="E1574" s="498"/>
      <x:c r="F1574" s="498"/>
      <x:c r="G1574" s="498"/>
      <x:c r="H1574" s="498"/>
      <x:c r="I1574" s="498"/>
      <x:c r="J1574" s="498"/>
      <x:c r="K1574" s="498"/>
      <x:c r="L1574" s="498"/>
      <x:c r="M1574" s="498"/>
    </x:row>
    <x:row r="1575" ht="18" customHeight="1">
      <x:c r="A1575" s="498"/>
      <x:c r="B1575" s="498"/>
      <x:c r="C1575" s="498"/>
      <x:c r="D1575" s="498"/>
      <x:c r="E1575" s="498"/>
      <x:c r="F1575" s="498"/>
      <x:c r="G1575" s="498"/>
      <x:c r="H1575" s="498"/>
      <x:c r="I1575" s="498"/>
      <x:c r="J1575" s="498"/>
      <x:c r="K1575" s="498"/>
      <x:c r="L1575" s="498"/>
      <x:c r="M1575" s="498"/>
    </x:row>
    <x:row r="1576" ht="18" customHeight="1">
      <x:c r="A1576" s="498"/>
      <x:c r="B1576" s="498"/>
      <x:c r="C1576" s="498"/>
      <x:c r="D1576" s="498"/>
      <x:c r="E1576" s="498"/>
      <x:c r="F1576" s="498"/>
      <x:c r="G1576" s="498"/>
      <x:c r="H1576" s="498"/>
      <x:c r="I1576" s="498"/>
      <x:c r="J1576" s="498"/>
      <x:c r="K1576" s="498"/>
      <x:c r="L1576" s="498"/>
      <x:c r="M1576" s="498"/>
    </x:row>
    <x:row r="1577" ht="18" customHeight="1">
      <x:c r="A1577" s="498"/>
      <x:c r="B1577" s="498"/>
      <x:c r="C1577" s="498"/>
      <x:c r="D1577" s="498"/>
      <x:c r="E1577" s="498"/>
      <x:c r="F1577" s="498"/>
      <x:c r="G1577" s="498"/>
      <x:c r="H1577" s="498"/>
      <x:c r="I1577" s="498"/>
      <x:c r="J1577" s="498"/>
      <x:c r="K1577" s="498"/>
      <x:c r="L1577" s="498"/>
      <x:c r="M1577" s="498"/>
    </x:row>
    <x:row r="1578" ht="18" customHeight="1">
      <x:c r="A1578" s="498"/>
      <x:c r="B1578" s="498"/>
      <x:c r="C1578" s="498"/>
      <x:c r="D1578" s="498"/>
      <x:c r="E1578" s="498"/>
      <x:c r="F1578" s="498"/>
      <x:c r="G1578" s="498"/>
      <x:c r="H1578" s="498"/>
      <x:c r="I1578" s="498"/>
      <x:c r="J1578" s="498"/>
      <x:c r="K1578" s="498"/>
      <x:c r="L1578" s="498"/>
      <x:c r="M1578" s="498"/>
    </x:row>
    <x:row r="1579" ht="18" customHeight="1">
      <x:c r="A1579" s="498"/>
      <x:c r="B1579" s="498"/>
      <x:c r="C1579" s="498"/>
      <x:c r="D1579" s="498"/>
      <x:c r="E1579" s="498"/>
      <x:c r="F1579" s="498"/>
      <x:c r="G1579" s="498"/>
      <x:c r="H1579" s="498"/>
      <x:c r="I1579" s="498"/>
      <x:c r="J1579" s="498"/>
      <x:c r="K1579" s="498"/>
      <x:c r="L1579" s="498"/>
      <x:c r="M1579" s="498"/>
    </x:row>
    <x:row r="1580" ht="18" customHeight="1">
      <x:c r="A1580" s="498"/>
      <x:c r="B1580" s="498"/>
      <x:c r="C1580" s="498"/>
      <x:c r="D1580" s="498"/>
      <x:c r="E1580" s="498"/>
      <x:c r="F1580" s="498"/>
      <x:c r="G1580" s="498"/>
      <x:c r="H1580" s="498"/>
      <x:c r="I1580" s="498"/>
      <x:c r="J1580" s="498"/>
      <x:c r="K1580" s="498"/>
      <x:c r="L1580" s="498"/>
      <x:c r="M1580" s="498"/>
    </x:row>
    <x:row r="1581" ht="18" customHeight="1">
      <x:c r="A1581" s="498"/>
      <x:c r="B1581" s="498"/>
      <x:c r="C1581" s="498"/>
      <x:c r="D1581" s="498"/>
      <x:c r="E1581" s="498"/>
      <x:c r="F1581" s="498"/>
      <x:c r="G1581" s="498"/>
      <x:c r="H1581" s="498"/>
      <x:c r="I1581" s="498"/>
      <x:c r="J1581" s="498"/>
      <x:c r="K1581" s="498"/>
      <x:c r="L1581" s="498"/>
      <x:c r="M1581" s="498"/>
    </x:row>
    <x:row r="1582" ht="18" customHeight="1">
      <x:c r="A1582" s="498"/>
      <x:c r="B1582" s="498"/>
      <x:c r="C1582" s="498"/>
      <x:c r="D1582" s="498"/>
      <x:c r="E1582" s="498"/>
      <x:c r="F1582" s="498"/>
      <x:c r="G1582" s="498"/>
      <x:c r="H1582" s="498"/>
      <x:c r="I1582" s="498"/>
      <x:c r="J1582" s="498"/>
      <x:c r="K1582" s="498"/>
      <x:c r="L1582" s="498"/>
      <x:c r="M1582" s="498"/>
    </x:row>
    <x:row r="1583" ht="18" customHeight="1">
      <x:c r="A1583" s="498"/>
      <x:c r="B1583" s="498"/>
      <x:c r="C1583" s="498"/>
      <x:c r="D1583" s="498"/>
      <x:c r="E1583" s="498"/>
      <x:c r="F1583" s="498"/>
      <x:c r="G1583" s="498"/>
      <x:c r="H1583" s="498"/>
      <x:c r="I1583" s="498"/>
      <x:c r="J1583" s="498"/>
      <x:c r="K1583" s="498"/>
      <x:c r="L1583" s="498"/>
      <x:c r="M1583" s="498"/>
    </x:row>
    <x:row r="1584" ht="18" customHeight="1">
      <x:c r="A1584" s="498"/>
      <x:c r="B1584" s="498"/>
      <x:c r="C1584" s="498"/>
      <x:c r="D1584" s="498"/>
      <x:c r="E1584" s="498"/>
      <x:c r="F1584" s="498"/>
      <x:c r="G1584" s="498"/>
      <x:c r="H1584" s="498"/>
      <x:c r="I1584" s="498"/>
      <x:c r="J1584" s="498"/>
      <x:c r="K1584" s="498"/>
      <x:c r="L1584" s="498"/>
      <x:c r="M1584" s="498"/>
    </x:row>
    <x:row r="1585" ht="18" customHeight="1">
      <x:c r="A1585" s="498"/>
      <x:c r="B1585" s="498"/>
      <x:c r="C1585" s="498"/>
      <x:c r="D1585" s="498"/>
      <x:c r="E1585" s="498"/>
      <x:c r="F1585" s="498"/>
      <x:c r="G1585" s="498"/>
      <x:c r="H1585" s="498"/>
      <x:c r="I1585" s="498"/>
      <x:c r="J1585" s="498"/>
      <x:c r="K1585" s="498"/>
      <x:c r="L1585" s="498"/>
      <x:c r="M1585" s="498"/>
    </x:row>
    <x:row r="1586" ht="18" customHeight="1">
      <x:c r="A1586" s="498"/>
      <x:c r="B1586" s="498"/>
      <x:c r="C1586" s="498"/>
      <x:c r="D1586" s="498"/>
      <x:c r="E1586" s="498"/>
      <x:c r="F1586" s="498"/>
      <x:c r="G1586" s="498"/>
      <x:c r="H1586" s="498"/>
      <x:c r="I1586" s="498"/>
      <x:c r="J1586" s="498"/>
      <x:c r="K1586" s="498"/>
      <x:c r="L1586" s="498"/>
      <x:c r="M1586" s="498"/>
    </x:row>
    <x:row r="1587" ht="18" customHeight="1">
      <x:c r="A1587" s="498"/>
      <x:c r="B1587" s="498"/>
      <x:c r="C1587" s="498"/>
      <x:c r="D1587" s="498"/>
      <x:c r="E1587" s="498"/>
      <x:c r="F1587" s="498"/>
      <x:c r="G1587" s="498"/>
      <x:c r="H1587" s="498"/>
      <x:c r="I1587" s="498"/>
      <x:c r="J1587" s="498"/>
      <x:c r="K1587" s="498"/>
      <x:c r="L1587" s="498"/>
      <x:c r="M1587" s="498"/>
    </x:row>
    <x:row r="1588" ht="18" customHeight="1">
      <x:c r="A1588" s="498"/>
      <x:c r="B1588" s="498"/>
      <x:c r="C1588" s="498"/>
      <x:c r="D1588" s="498"/>
      <x:c r="E1588" s="498"/>
      <x:c r="F1588" s="498"/>
      <x:c r="G1588" s="498"/>
      <x:c r="H1588" s="498"/>
      <x:c r="I1588" s="498"/>
      <x:c r="J1588" s="498"/>
      <x:c r="K1588" s="498"/>
      <x:c r="L1588" s="498"/>
      <x:c r="M1588" s="498"/>
    </x:row>
    <x:row r="1589" ht="18" customHeight="1">
      <x:c r="A1589" s="498"/>
      <x:c r="B1589" s="498"/>
      <x:c r="C1589" s="498"/>
      <x:c r="D1589" s="498"/>
      <x:c r="E1589" s="498"/>
      <x:c r="F1589" s="498"/>
      <x:c r="G1589" s="498"/>
      <x:c r="H1589" s="498"/>
      <x:c r="I1589" s="498"/>
      <x:c r="J1589" s="498"/>
      <x:c r="K1589" s="498"/>
      <x:c r="L1589" s="498"/>
      <x:c r="M1589" s="498"/>
    </x:row>
    <x:row r="1590" ht="18" customHeight="1">
      <x:c r="A1590" s="498"/>
      <x:c r="B1590" s="498"/>
      <x:c r="C1590" s="498"/>
      <x:c r="D1590" s="498"/>
      <x:c r="E1590" s="498"/>
      <x:c r="F1590" s="498"/>
      <x:c r="G1590" s="498"/>
      <x:c r="H1590" s="498"/>
      <x:c r="I1590" s="498"/>
      <x:c r="J1590" s="498"/>
      <x:c r="K1590" s="498"/>
      <x:c r="L1590" s="498"/>
      <x:c r="M1590" s="498"/>
    </x:row>
    <x:row r="1591" ht="18" customHeight="1">
      <x:c r="A1591" s="498"/>
      <x:c r="B1591" s="498"/>
      <x:c r="C1591" s="498"/>
      <x:c r="D1591" s="498"/>
      <x:c r="E1591" s="498"/>
      <x:c r="F1591" s="498"/>
      <x:c r="G1591" s="498"/>
      <x:c r="H1591" s="498"/>
      <x:c r="I1591" s="498"/>
      <x:c r="J1591" s="498"/>
      <x:c r="K1591" s="498"/>
      <x:c r="L1591" s="498"/>
      <x:c r="M1591" s="498"/>
    </x:row>
    <x:row r="1592" ht="18" customHeight="1">
      <x:c r="A1592" s="498"/>
      <x:c r="B1592" s="498"/>
      <x:c r="C1592" s="498"/>
      <x:c r="D1592" s="498"/>
      <x:c r="E1592" s="498"/>
      <x:c r="F1592" s="498"/>
      <x:c r="G1592" s="498"/>
      <x:c r="H1592" s="498"/>
      <x:c r="I1592" s="498"/>
      <x:c r="J1592" s="498"/>
      <x:c r="K1592" s="498"/>
      <x:c r="L1592" s="498"/>
      <x:c r="M1592" s="498"/>
    </x:row>
    <x:row r="1593" ht="18" customHeight="1">
      <x:c r="A1593" s="498"/>
      <x:c r="B1593" s="498"/>
      <x:c r="C1593" s="498"/>
      <x:c r="D1593" s="498"/>
      <x:c r="E1593" s="498"/>
      <x:c r="F1593" s="498"/>
      <x:c r="G1593" s="498"/>
      <x:c r="H1593" s="498"/>
      <x:c r="I1593" s="498"/>
      <x:c r="J1593" s="498"/>
      <x:c r="K1593" s="498"/>
      <x:c r="L1593" s="498"/>
      <x:c r="M1593" s="498"/>
    </x:row>
    <x:row r="1594" ht="18" customHeight="1">
      <x:c r="A1594" s="498"/>
      <x:c r="B1594" s="498"/>
      <x:c r="C1594" s="498"/>
      <x:c r="D1594" s="498"/>
      <x:c r="E1594" s="498"/>
      <x:c r="F1594" s="498"/>
      <x:c r="G1594" s="498"/>
      <x:c r="H1594" s="498"/>
      <x:c r="I1594" s="498"/>
      <x:c r="J1594" s="498"/>
      <x:c r="K1594" s="498"/>
      <x:c r="L1594" s="498"/>
      <x:c r="M1594" s="498"/>
    </x:row>
    <x:row r="1595" ht="18" customHeight="1">
      <x:c r="A1595" s="498"/>
      <x:c r="B1595" s="498"/>
      <x:c r="C1595" s="498"/>
      <x:c r="D1595" s="498"/>
      <x:c r="E1595" s="498"/>
      <x:c r="F1595" s="498"/>
      <x:c r="G1595" s="498"/>
      <x:c r="H1595" s="498"/>
      <x:c r="I1595" s="498"/>
      <x:c r="J1595" s="498"/>
      <x:c r="K1595" s="498"/>
      <x:c r="L1595" s="498"/>
      <x:c r="M1595" s="498"/>
    </x:row>
    <x:row r="1596" ht="18" customHeight="1">
      <x:c r="A1596" s="498"/>
      <x:c r="B1596" s="498"/>
      <x:c r="C1596" s="498"/>
      <x:c r="D1596" s="498"/>
      <x:c r="E1596" s="498"/>
      <x:c r="F1596" s="498"/>
      <x:c r="G1596" s="498"/>
      <x:c r="H1596" s="498"/>
      <x:c r="I1596" s="498"/>
      <x:c r="J1596" s="498"/>
      <x:c r="K1596" s="498"/>
      <x:c r="L1596" s="498"/>
      <x:c r="M1596" s="498"/>
    </x:row>
    <x:row r="1597" ht="18" customHeight="1">
      <x:c r="A1597" s="498"/>
      <x:c r="B1597" s="498"/>
      <x:c r="C1597" s="498"/>
      <x:c r="D1597" s="498"/>
      <x:c r="E1597" s="498"/>
      <x:c r="F1597" s="498"/>
      <x:c r="G1597" s="498"/>
      <x:c r="H1597" s="498"/>
      <x:c r="I1597" s="498"/>
      <x:c r="J1597" s="498"/>
      <x:c r="K1597" s="498"/>
      <x:c r="L1597" s="498"/>
      <x:c r="M1597" s="498"/>
    </x:row>
    <x:row r="1598" ht="18" customHeight="1">
      <x:c r="A1598" s="498"/>
      <x:c r="B1598" s="498"/>
      <x:c r="C1598" s="498"/>
      <x:c r="D1598" s="498"/>
      <x:c r="E1598" s="498"/>
      <x:c r="F1598" s="498"/>
      <x:c r="G1598" s="498"/>
      <x:c r="H1598" s="498"/>
      <x:c r="I1598" s="498"/>
      <x:c r="J1598" s="498"/>
      <x:c r="K1598" s="498"/>
      <x:c r="L1598" s="498"/>
      <x:c r="M1598" s="498"/>
    </x:row>
    <x:row r="1599" ht="18" customHeight="1">
      <x:c r="A1599" s="498"/>
      <x:c r="B1599" s="498"/>
      <x:c r="C1599" s="498"/>
      <x:c r="D1599" s="498"/>
      <x:c r="E1599" s="498"/>
      <x:c r="F1599" s="498"/>
      <x:c r="G1599" s="498"/>
      <x:c r="H1599" s="498"/>
      <x:c r="I1599" s="498"/>
      <x:c r="J1599" s="498"/>
      <x:c r="K1599" s="498"/>
      <x:c r="L1599" s="498"/>
      <x:c r="M1599" s="498"/>
    </x:row>
    <x:row r="1600" ht="18" customHeight="1">
      <x:c r="A1600" s="498"/>
      <x:c r="B1600" s="498"/>
      <x:c r="C1600" s="498"/>
      <x:c r="D1600" s="498"/>
      <x:c r="E1600" s="498"/>
      <x:c r="F1600" s="498"/>
      <x:c r="G1600" s="498"/>
      <x:c r="H1600" s="498"/>
      <x:c r="I1600" s="498"/>
      <x:c r="J1600" s="498"/>
      <x:c r="K1600" s="498"/>
      <x:c r="L1600" s="498"/>
      <x:c r="M1600" s="498"/>
    </x:row>
    <x:row r="1601" ht="18" customHeight="1">
      <x:c r="A1601" s="498"/>
      <x:c r="B1601" s="498"/>
      <x:c r="C1601" s="498"/>
      <x:c r="D1601" s="498"/>
      <x:c r="E1601" s="498"/>
      <x:c r="F1601" s="498"/>
      <x:c r="G1601" s="498"/>
      <x:c r="H1601" s="498"/>
      <x:c r="I1601" s="498"/>
      <x:c r="J1601" s="498"/>
      <x:c r="K1601" s="498"/>
      <x:c r="L1601" s="498"/>
      <x:c r="M1601" s="498"/>
    </x:row>
    <x:row r="1602" ht="18" customHeight="1">
      <x:c r="A1602" s="498"/>
      <x:c r="B1602" s="498"/>
      <x:c r="C1602" s="498"/>
      <x:c r="D1602" s="498"/>
      <x:c r="E1602" s="498"/>
      <x:c r="F1602" s="498"/>
      <x:c r="G1602" s="498"/>
      <x:c r="H1602" s="498"/>
      <x:c r="I1602" s="498"/>
      <x:c r="J1602" s="498"/>
      <x:c r="K1602" s="498"/>
      <x:c r="L1602" s="498"/>
      <x:c r="M1602" s="498"/>
    </x:row>
    <x:row r="1603" ht="18" customHeight="1">
      <x:c r="A1603" s="498"/>
      <x:c r="B1603" s="498"/>
      <x:c r="C1603" s="498"/>
      <x:c r="D1603" s="498"/>
      <x:c r="E1603" s="498"/>
      <x:c r="F1603" s="498"/>
      <x:c r="G1603" s="498"/>
      <x:c r="H1603" s="498"/>
      <x:c r="I1603" s="498"/>
      <x:c r="J1603" s="498"/>
      <x:c r="K1603" s="498"/>
      <x:c r="L1603" s="498"/>
      <x:c r="M1603" s="498"/>
    </x:row>
    <x:row r="1604" ht="18" customHeight="1">
      <x:c r="A1604" s="498"/>
      <x:c r="B1604" s="498"/>
      <x:c r="C1604" s="498"/>
      <x:c r="D1604" s="498"/>
      <x:c r="E1604" s="498"/>
      <x:c r="F1604" s="498"/>
      <x:c r="G1604" s="498"/>
      <x:c r="H1604" s="498"/>
      <x:c r="I1604" s="498"/>
      <x:c r="J1604" s="498"/>
      <x:c r="K1604" s="498"/>
      <x:c r="L1604" s="498"/>
      <x:c r="M1604" s="498"/>
    </x:row>
    <x:row r="1605" ht="18" customHeight="1">
      <x:c r="A1605" s="498"/>
      <x:c r="B1605" s="498"/>
      <x:c r="C1605" s="498"/>
      <x:c r="D1605" s="498"/>
      <x:c r="E1605" s="498"/>
      <x:c r="F1605" s="498"/>
      <x:c r="G1605" s="498"/>
      <x:c r="H1605" s="498"/>
      <x:c r="I1605" s="498"/>
      <x:c r="J1605" s="498"/>
      <x:c r="K1605" s="498"/>
      <x:c r="L1605" s="498"/>
      <x:c r="M1605" s="498"/>
    </x:row>
    <x:row r="1606" ht="18" customHeight="1">
      <x:c r="A1606" s="498"/>
      <x:c r="B1606" s="498"/>
      <x:c r="C1606" s="498"/>
      <x:c r="D1606" s="498"/>
      <x:c r="E1606" s="498"/>
      <x:c r="F1606" s="498"/>
      <x:c r="G1606" s="498"/>
      <x:c r="H1606" s="498"/>
      <x:c r="I1606" s="498"/>
      <x:c r="J1606" s="498"/>
      <x:c r="K1606" s="498"/>
      <x:c r="L1606" s="498"/>
      <x:c r="M1606" s="498"/>
    </x:row>
    <x:row r="1607" ht="18" customHeight="1">
      <x:c r="A1607" s="498"/>
      <x:c r="B1607" s="498"/>
      <x:c r="C1607" s="498"/>
      <x:c r="D1607" s="498"/>
      <x:c r="E1607" s="498"/>
      <x:c r="F1607" s="498"/>
      <x:c r="G1607" s="498"/>
      <x:c r="H1607" s="498"/>
      <x:c r="I1607" s="498"/>
      <x:c r="J1607" s="498"/>
      <x:c r="K1607" s="498"/>
      <x:c r="L1607" s="498"/>
      <x:c r="M1607" s="498"/>
    </x:row>
    <x:row r="1608" ht="18" customHeight="1">
      <x:c r="A1608" s="498"/>
      <x:c r="B1608" s="498"/>
      <x:c r="C1608" s="498"/>
      <x:c r="D1608" s="498"/>
      <x:c r="E1608" s="498"/>
      <x:c r="F1608" s="498"/>
      <x:c r="G1608" s="498"/>
      <x:c r="H1608" s="498"/>
      <x:c r="I1608" s="498"/>
      <x:c r="J1608" s="498"/>
      <x:c r="K1608" s="498"/>
      <x:c r="L1608" s="498"/>
      <x:c r="M1608" s="498"/>
    </x:row>
    <x:row r="1609" ht="18" customHeight="1">
      <x:c r="A1609" s="498"/>
      <x:c r="B1609" s="498"/>
      <x:c r="C1609" s="498"/>
      <x:c r="D1609" s="498"/>
      <x:c r="E1609" s="498"/>
      <x:c r="F1609" s="498"/>
      <x:c r="G1609" s="498"/>
      <x:c r="H1609" s="498"/>
      <x:c r="I1609" s="498"/>
      <x:c r="J1609" s="498"/>
      <x:c r="K1609" s="498"/>
      <x:c r="L1609" s="498"/>
      <x:c r="M1609" s="498"/>
    </x:row>
    <x:row r="1610" ht="18" customHeight="1">
      <x:c r="A1610" s="498"/>
      <x:c r="B1610" s="498"/>
      <x:c r="C1610" s="498"/>
      <x:c r="D1610" s="498"/>
      <x:c r="E1610" s="498"/>
      <x:c r="F1610" s="498"/>
      <x:c r="G1610" s="498"/>
      <x:c r="H1610" s="498"/>
      <x:c r="I1610" s="498"/>
      <x:c r="J1610" s="498"/>
      <x:c r="K1610" s="498"/>
      <x:c r="L1610" s="498"/>
      <x:c r="M1610" s="498"/>
    </x:row>
    <x:row r="1611" ht="18" customHeight="1">
      <x:c r="A1611" s="498"/>
      <x:c r="B1611" s="498"/>
      <x:c r="C1611" s="498"/>
      <x:c r="D1611" s="498"/>
      <x:c r="E1611" s="498"/>
      <x:c r="F1611" s="498"/>
      <x:c r="G1611" s="498"/>
      <x:c r="H1611" s="498"/>
      <x:c r="I1611" s="498"/>
      <x:c r="J1611" s="498"/>
      <x:c r="K1611" s="498"/>
      <x:c r="L1611" s="498"/>
      <x:c r="M1611" s="498"/>
    </x:row>
    <x:row r="1612" ht="18" customHeight="1">
      <x:c r="A1612" s="498"/>
      <x:c r="B1612" s="498"/>
      <x:c r="C1612" s="498"/>
      <x:c r="D1612" s="498"/>
      <x:c r="E1612" s="498"/>
      <x:c r="F1612" s="498"/>
      <x:c r="G1612" s="498"/>
      <x:c r="H1612" s="498"/>
      <x:c r="I1612" s="498"/>
      <x:c r="J1612" s="498"/>
      <x:c r="K1612" s="498"/>
      <x:c r="L1612" s="498"/>
      <x:c r="M1612" s="498"/>
    </x:row>
    <x:row r="1613" ht="18" customHeight="1">
      <x:c r="A1613" s="498"/>
      <x:c r="B1613" s="498"/>
      <x:c r="C1613" s="498"/>
      <x:c r="D1613" s="498"/>
      <x:c r="E1613" s="498"/>
      <x:c r="F1613" s="498"/>
      <x:c r="G1613" s="498"/>
      <x:c r="H1613" s="498"/>
      <x:c r="I1613" s="498"/>
      <x:c r="J1613" s="498"/>
      <x:c r="K1613" s="498"/>
      <x:c r="L1613" s="498"/>
      <x:c r="M1613" s="498"/>
    </x:row>
    <x:row r="1614" ht="18" customHeight="1">
      <x:c r="A1614" s="498"/>
      <x:c r="B1614" s="498"/>
      <x:c r="C1614" s="498"/>
      <x:c r="D1614" s="498"/>
      <x:c r="E1614" s="498"/>
      <x:c r="F1614" s="498"/>
      <x:c r="G1614" s="498"/>
      <x:c r="H1614" s="498"/>
      <x:c r="I1614" s="498"/>
      <x:c r="J1614" s="498"/>
      <x:c r="K1614" s="498"/>
      <x:c r="L1614" s="498"/>
      <x:c r="M1614" s="498"/>
    </x:row>
    <x:row r="1615" ht="18" customHeight="1">
      <x:c r="A1615" s="498"/>
      <x:c r="B1615" s="498"/>
      <x:c r="C1615" s="498"/>
      <x:c r="D1615" s="498"/>
      <x:c r="E1615" s="498"/>
      <x:c r="F1615" s="498"/>
      <x:c r="G1615" s="498"/>
      <x:c r="H1615" s="498"/>
      <x:c r="I1615" s="498"/>
      <x:c r="J1615" s="498"/>
      <x:c r="K1615" s="498"/>
      <x:c r="L1615" s="498"/>
      <x:c r="M1615" s="498"/>
    </x:row>
    <x:row r="1616" ht="18" customHeight="1">
      <x:c r="A1616" s="498"/>
      <x:c r="B1616" s="498"/>
      <x:c r="C1616" s="498"/>
      <x:c r="D1616" s="498"/>
      <x:c r="E1616" s="498"/>
      <x:c r="F1616" s="498"/>
      <x:c r="G1616" s="498"/>
      <x:c r="H1616" s="498"/>
      <x:c r="I1616" s="498"/>
      <x:c r="J1616" s="498"/>
      <x:c r="K1616" s="498"/>
      <x:c r="L1616" s="498"/>
      <x:c r="M1616" s="498"/>
    </x:row>
    <x:row r="1617" ht="18" customHeight="1">
      <x:c r="A1617" s="498"/>
      <x:c r="B1617" s="498"/>
      <x:c r="C1617" s="498"/>
      <x:c r="D1617" s="498"/>
      <x:c r="E1617" s="498"/>
      <x:c r="F1617" s="498"/>
      <x:c r="G1617" s="498"/>
      <x:c r="H1617" s="498"/>
      <x:c r="I1617" s="498"/>
      <x:c r="J1617" s="498"/>
      <x:c r="K1617" s="498"/>
      <x:c r="L1617" s="498"/>
      <x:c r="M1617" s="498"/>
    </x:row>
    <x:row r="1618" ht="18" customHeight="1">
      <x:c r="A1618" s="498"/>
      <x:c r="B1618" s="498"/>
      <x:c r="C1618" s="498"/>
      <x:c r="D1618" s="498"/>
      <x:c r="E1618" s="498"/>
      <x:c r="F1618" s="498"/>
      <x:c r="G1618" s="498"/>
      <x:c r="H1618" s="498"/>
      <x:c r="I1618" s="498"/>
      <x:c r="J1618" s="498"/>
      <x:c r="K1618" s="498"/>
      <x:c r="L1618" s="498"/>
      <x:c r="M1618" s="498"/>
    </x:row>
    <x:row r="1619" ht="18" customHeight="1">
      <x:c r="A1619" s="498"/>
      <x:c r="B1619" s="498"/>
      <x:c r="C1619" s="498"/>
      <x:c r="D1619" s="498"/>
      <x:c r="E1619" s="498"/>
      <x:c r="F1619" s="498"/>
      <x:c r="G1619" s="498"/>
      <x:c r="H1619" s="498"/>
      <x:c r="I1619" s="498"/>
      <x:c r="J1619" s="498"/>
      <x:c r="K1619" s="498"/>
      <x:c r="L1619" s="498"/>
      <x:c r="M1619" s="498"/>
    </x:row>
    <x:row r="1620" ht="18" customHeight="1">
      <x:c r="A1620" s="498"/>
      <x:c r="B1620" s="498"/>
      <x:c r="C1620" s="498"/>
      <x:c r="D1620" s="498"/>
      <x:c r="E1620" s="498"/>
      <x:c r="F1620" s="498"/>
      <x:c r="G1620" s="498"/>
      <x:c r="H1620" s="498"/>
      <x:c r="I1620" s="498"/>
      <x:c r="J1620" s="498"/>
      <x:c r="K1620" s="498"/>
      <x:c r="L1620" s="498"/>
      <x:c r="M1620" s="498"/>
    </x:row>
    <x:row r="1621" ht="18" customHeight="1">
      <x:c r="A1621" s="498"/>
      <x:c r="B1621" s="498"/>
      <x:c r="C1621" s="498"/>
      <x:c r="D1621" s="498"/>
      <x:c r="E1621" s="498"/>
      <x:c r="F1621" s="498"/>
      <x:c r="G1621" s="498"/>
      <x:c r="H1621" s="498"/>
      <x:c r="I1621" s="498"/>
      <x:c r="J1621" s="498"/>
      <x:c r="K1621" s="498"/>
      <x:c r="L1621" s="498"/>
      <x:c r="M1621" s="498"/>
    </x:row>
    <x:row r="1622" ht="18" customHeight="1">
      <x:c r="A1622" s="498"/>
      <x:c r="B1622" s="498"/>
      <x:c r="C1622" s="498"/>
      <x:c r="D1622" s="498"/>
      <x:c r="E1622" s="498"/>
      <x:c r="F1622" s="498"/>
      <x:c r="G1622" s="498"/>
      <x:c r="H1622" s="498"/>
      <x:c r="I1622" s="498"/>
      <x:c r="J1622" s="498"/>
      <x:c r="K1622" s="498"/>
      <x:c r="L1622" s="498"/>
      <x:c r="M1622" s="498"/>
    </x:row>
    <x:row r="1623" ht="18" customHeight="1">
      <x:c r="A1623" s="498"/>
      <x:c r="B1623" s="498"/>
      <x:c r="C1623" s="498"/>
      <x:c r="D1623" s="498"/>
      <x:c r="E1623" s="498"/>
      <x:c r="F1623" s="498"/>
      <x:c r="G1623" s="498"/>
      <x:c r="H1623" s="498"/>
      <x:c r="I1623" s="498"/>
      <x:c r="J1623" s="498"/>
      <x:c r="K1623" s="498"/>
      <x:c r="L1623" s="498"/>
      <x:c r="M1623" s="498"/>
    </x:row>
    <x:row r="1624" ht="18" customHeight="1">
      <x:c r="A1624" s="498"/>
      <x:c r="B1624" s="498"/>
      <x:c r="C1624" s="498"/>
      <x:c r="D1624" s="498"/>
      <x:c r="E1624" s="498"/>
      <x:c r="F1624" s="498"/>
      <x:c r="G1624" s="498"/>
      <x:c r="H1624" s="498"/>
      <x:c r="I1624" s="498"/>
      <x:c r="J1624" s="498"/>
      <x:c r="K1624" s="498"/>
      <x:c r="L1624" s="498"/>
      <x:c r="M1624" s="498"/>
    </x:row>
    <x:row r="1625" ht="18" customHeight="1">
      <x:c r="A1625" s="498"/>
      <x:c r="B1625" s="498"/>
      <x:c r="C1625" s="498"/>
      <x:c r="D1625" s="498"/>
      <x:c r="E1625" s="498"/>
      <x:c r="F1625" s="498"/>
      <x:c r="G1625" s="498"/>
      <x:c r="H1625" s="498"/>
      <x:c r="I1625" s="498"/>
      <x:c r="J1625" s="498"/>
      <x:c r="K1625" s="498"/>
      <x:c r="L1625" s="498"/>
      <x:c r="M1625" s="498"/>
    </x:row>
    <x:row r="1626" ht="18" customHeight="1">
      <x:c r="A1626" s="498"/>
      <x:c r="B1626" s="498"/>
      <x:c r="C1626" s="498"/>
      <x:c r="D1626" s="498"/>
      <x:c r="E1626" s="498"/>
      <x:c r="F1626" s="498"/>
      <x:c r="G1626" s="498"/>
      <x:c r="H1626" s="498"/>
      <x:c r="I1626" s="498"/>
      <x:c r="J1626" s="498"/>
      <x:c r="K1626" s="498"/>
      <x:c r="L1626" s="498"/>
      <x:c r="M1626" s="498"/>
    </x:row>
    <x:row r="1627" ht="18" customHeight="1">
      <x:c r="A1627" s="498"/>
      <x:c r="B1627" s="498"/>
      <x:c r="C1627" s="498"/>
      <x:c r="D1627" s="498"/>
      <x:c r="E1627" s="498"/>
      <x:c r="F1627" s="498"/>
      <x:c r="G1627" s="498"/>
      <x:c r="H1627" s="498"/>
      <x:c r="I1627" s="498"/>
      <x:c r="J1627" s="498"/>
      <x:c r="K1627" s="498"/>
      <x:c r="L1627" s="498"/>
      <x:c r="M1627" s="498"/>
    </x:row>
    <x:row r="1628" ht="18" customHeight="1">
      <x:c r="A1628" s="498"/>
      <x:c r="B1628" s="498"/>
      <x:c r="C1628" s="498"/>
      <x:c r="D1628" s="498"/>
      <x:c r="E1628" s="498"/>
      <x:c r="F1628" s="498"/>
      <x:c r="G1628" s="498"/>
      <x:c r="H1628" s="498"/>
      <x:c r="I1628" s="498"/>
      <x:c r="J1628" s="498"/>
      <x:c r="K1628" s="498"/>
      <x:c r="L1628" s="498"/>
      <x:c r="M1628" s="498"/>
    </x:row>
    <x:row r="1629" ht="18" customHeight="1">
      <x:c r="A1629" s="498"/>
      <x:c r="B1629" s="498"/>
      <x:c r="C1629" s="498"/>
      <x:c r="D1629" s="498"/>
      <x:c r="E1629" s="498"/>
      <x:c r="F1629" s="498"/>
      <x:c r="G1629" s="498"/>
      <x:c r="H1629" s="498"/>
      <x:c r="I1629" s="498"/>
      <x:c r="J1629" s="498"/>
      <x:c r="K1629" s="498"/>
      <x:c r="L1629" s="498"/>
      <x:c r="M1629" s="498"/>
    </x:row>
    <x:row r="1630" ht="18" customHeight="1">
      <x:c r="A1630" s="498"/>
      <x:c r="B1630" s="498"/>
      <x:c r="C1630" s="498"/>
      <x:c r="D1630" s="498"/>
      <x:c r="E1630" s="498"/>
      <x:c r="F1630" s="498"/>
      <x:c r="G1630" s="498"/>
      <x:c r="H1630" s="498"/>
      <x:c r="I1630" s="498"/>
      <x:c r="J1630" s="498"/>
      <x:c r="K1630" s="498"/>
      <x:c r="L1630" s="498"/>
      <x:c r="M1630" s="498"/>
    </x:row>
    <x:row r="1631" ht="18" customHeight="1">
      <x:c r="A1631" s="498"/>
      <x:c r="B1631" s="498"/>
      <x:c r="C1631" s="498"/>
      <x:c r="D1631" s="498"/>
      <x:c r="E1631" s="498"/>
      <x:c r="F1631" s="498"/>
      <x:c r="G1631" s="498"/>
      <x:c r="H1631" s="498"/>
      <x:c r="I1631" s="498"/>
      <x:c r="J1631" s="498"/>
      <x:c r="K1631" s="498"/>
      <x:c r="L1631" s="498"/>
      <x:c r="M1631" s="498"/>
    </x:row>
    <x:row r="1632" ht="18" customHeight="1">
      <x:c r="A1632" s="498"/>
      <x:c r="B1632" s="498"/>
      <x:c r="C1632" s="498"/>
      <x:c r="D1632" s="498"/>
      <x:c r="E1632" s="498"/>
      <x:c r="F1632" s="498"/>
      <x:c r="G1632" s="498"/>
      <x:c r="H1632" s="498"/>
      <x:c r="I1632" s="498"/>
      <x:c r="J1632" s="498"/>
      <x:c r="K1632" s="498"/>
      <x:c r="L1632" s="498"/>
      <x:c r="M1632" s="498"/>
    </x:row>
    <x:row r="1633" ht="18" customHeight="1">
      <x:c r="A1633" s="498"/>
      <x:c r="B1633" s="498"/>
      <x:c r="C1633" s="498"/>
      <x:c r="D1633" s="498"/>
      <x:c r="E1633" s="498"/>
      <x:c r="F1633" s="498"/>
      <x:c r="G1633" s="498"/>
      <x:c r="H1633" s="498"/>
      <x:c r="I1633" s="498"/>
      <x:c r="J1633" s="498"/>
      <x:c r="K1633" s="498"/>
      <x:c r="L1633" s="498"/>
      <x:c r="M1633" s="498"/>
    </x:row>
    <x:row r="1634" ht="18" customHeight="1">
      <x:c r="A1634" s="498"/>
      <x:c r="B1634" s="498"/>
      <x:c r="C1634" s="498"/>
      <x:c r="D1634" s="498"/>
      <x:c r="E1634" s="498"/>
      <x:c r="F1634" s="498"/>
      <x:c r="G1634" s="498"/>
      <x:c r="H1634" s="498"/>
      <x:c r="I1634" s="498"/>
      <x:c r="J1634" s="498"/>
      <x:c r="K1634" s="498"/>
      <x:c r="L1634" s="498"/>
      <x:c r="M1634" s="498"/>
    </x:row>
    <x:row r="1635" ht="18" customHeight="1">
      <x:c r="A1635" s="498"/>
      <x:c r="B1635" s="498"/>
      <x:c r="C1635" s="498"/>
      <x:c r="D1635" s="498"/>
      <x:c r="E1635" s="498"/>
      <x:c r="F1635" s="498"/>
      <x:c r="G1635" s="498"/>
      <x:c r="H1635" s="498"/>
      <x:c r="I1635" s="498"/>
      <x:c r="J1635" s="498"/>
      <x:c r="K1635" s="498"/>
      <x:c r="L1635" s="498"/>
      <x:c r="M1635" s="498"/>
    </x:row>
    <x:row r="1636" ht="18" customHeight="1">
      <x:c r="A1636" s="498"/>
      <x:c r="B1636" s="498"/>
      <x:c r="C1636" s="498"/>
      <x:c r="D1636" s="498"/>
      <x:c r="E1636" s="498"/>
      <x:c r="F1636" s="498"/>
      <x:c r="G1636" s="498"/>
      <x:c r="H1636" s="498"/>
      <x:c r="I1636" s="498"/>
      <x:c r="J1636" s="498"/>
      <x:c r="K1636" s="498"/>
      <x:c r="L1636" s="498"/>
      <x:c r="M1636" s="498"/>
    </x:row>
    <x:row r="1637" ht="18" customHeight="1">
      <x:c r="A1637" s="498"/>
      <x:c r="B1637" s="498"/>
      <x:c r="C1637" s="498"/>
      <x:c r="D1637" s="498"/>
      <x:c r="E1637" s="498"/>
      <x:c r="F1637" s="498"/>
      <x:c r="G1637" s="498"/>
      <x:c r="H1637" s="498"/>
      <x:c r="I1637" s="498"/>
      <x:c r="J1637" s="498"/>
      <x:c r="K1637" s="498"/>
      <x:c r="L1637" s="498"/>
      <x:c r="M1637" s="498"/>
    </x:row>
    <x:row r="1638" ht="18" customHeight="1">
      <x:c r="A1638" s="498"/>
      <x:c r="B1638" s="498"/>
      <x:c r="C1638" s="498"/>
      <x:c r="D1638" s="498"/>
      <x:c r="E1638" s="498"/>
      <x:c r="F1638" s="498"/>
      <x:c r="G1638" s="498"/>
      <x:c r="H1638" s="498"/>
      <x:c r="I1638" s="498"/>
      <x:c r="J1638" s="498"/>
      <x:c r="K1638" s="498"/>
      <x:c r="L1638" s="498"/>
      <x:c r="M1638" s="498"/>
    </x:row>
    <x:row r="1639" ht="18" customHeight="1">
      <x:c r="A1639" s="498"/>
      <x:c r="B1639" s="498"/>
      <x:c r="C1639" s="498"/>
      <x:c r="D1639" s="498"/>
      <x:c r="E1639" s="498"/>
      <x:c r="F1639" s="498"/>
      <x:c r="G1639" s="498"/>
      <x:c r="H1639" s="498"/>
      <x:c r="I1639" s="498"/>
      <x:c r="J1639" s="498"/>
      <x:c r="K1639" s="498"/>
      <x:c r="L1639" s="498"/>
      <x:c r="M1639" s="498"/>
    </x:row>
    <x:row r="1640" ht="18" customHeight="1">
      <x:c r="A1640" s="498"/>
      <x:c r="B1640" s="498"/>
      <x:c r="C1640" s="498"/>
      <x:c r="D1640" s="498"/>
      <x:c r="E1640" s="498"/>
      <x:c r="F1640" s="498"/>
      <x:c r="G1640" s="498"/>
      <x:c r="H1640" s="498"/>
      <x:c r="I1640" s="498"/>
      <x:c r="J1640" s="498"/>
      <x:c r="K1640" s="498"/>
      <x:c r="L1640" s="498"/>
      <x:c r="M1640" s="498"/>
    </x:row>
    <x:row r="1641" ht="18" customHeight="1">
      <x:c r="A1641" s="498"/>
      <x:c r="B1641" s="498"/>
      <x:c r="C1641" s="498"/>
      <x:c r="D1641" s="498"/>
      <x:c r="E1641" s="498"/>
      <x:c r="F1641" s="498"/>
      <x:c r="G1641" s="498"/>
      <x:c r="H1641" s="498"/>
      <x:c r="I1641" s="498"/>
      <x:c r="J1641" s="498"/>
      <x:c r="K1641" s="498"/>
      <x:c r="L1641" s="498"/>
      <x:c r="M1641" s="498"/>
    </x:row>
    <x:row r="1642" ht="18" customHeight="1">
      <x:c r="A1642" s="498"/>
      <x:c r="B1642" s="498"/>
      <x:c r="C1642" s="498"/>
      <x:c r="D1642" s="498"/>
      <x:c r="E1642" s="498"/>
      <x:c r="F1642" s="498"/>
      <x:c r="G1642" s="498"/>
      <x:c r="H1642" s="498"/>
      <x:c r="I1642" s="498"/>
      <x:c r="J1642" s="498"/>
      <x:c r="K1642" s="498"/>
      <x:c r="L1642" s="498"/>
      <x:c r="M1642" s="498"/>
    </x:row>
    <x:row r="1643" ht="18" customHeight="1">
      <x:c r="A1643" s="498"/>
      <x:c r="B1643" s="498"/>
      <x:c r="C1643" s="498"/>
      <x:c r="D1643" s="498"/>
      <x:c r="E1643" s="498"/>
      <x:c r="F1643" s="498"/>
      <x:c r="G1643" s="498"/>
      <x:c r="H1643" s="498"/>
      <x:c r="I1643" s="498"/>
      <x:c r="J1643" s="498"/>
      <x:c r="K1643" s="498"/>
      <x:c r="L1643" s="498"/>
      <x:c r="M1643" s="498"/>
    </x:row>
    <x:row r="1644" ht="18" customHeight="1">
      <x:c r="A1644" s="498"/>
      <x:c r="B1644" s="498"/>
      <x:c r="C1644" s="498"/>
      <x:c r="D1644" s="498"/>
      <x:c r="E1644" s="498"/>
      <x:c r="F1644" s="498"/>
      <x:c r="G1644" s="498"/>
      <x:c r="H1644" s="498"/>
      <x:c r="I1644" s="498"/>
      <x:c r="J1644" s="498"/>
      <x:c r="K1644" s="498"/>
      <x:c r="L1644" s="498"/>
      <x:c r="M1644" s="498"/>
    </x:row>
    <x:row r="1645" ht="18" customHeight="1">
      <x:c r="A1645" s="498"/>
      <x:c r="B1645" s="498"/>
      <x:c r="C1645" s="498"/>
      <x:c r="D1645" s="498"/>
      <x:c r="E1645" s="498"/>
      <x:c r="F1645" s="498"/>
      <x:c r="G1645" s="498"/>
      <x:c r="H1645" s="498"/>
      <x:c r="I1645" s="498"/>
      <x:c r="J1645" s="498"/>
      <x:c r="K1645" s="498"/>
      <x:c r="L1645" s="498"/>
      <x:c r="M1645" s="498"/>
    </x:row>
    <x:row r="1646" ht="18" customHeight="1">
      <x:c r="A1646" s="498"/>
      <x:c r="B1646" s="498"/>
      <x:c r="C1646" s="498"/>
      <x:c r="D1646" s="498"/>
      <x:c r="E1646" s="498"/>
      <x:c r="F1646" s="498"/>
      <x:c r="G1646" s="498"/>
      <x:c r="H1646" s="498"/>
      <x:c r="I1646" s="498"/>
      <x:c r="J1646" s="498"/>
      <x:c r="K1646" s="498"/>
      <x:c r="L1646" s="498"/>
      <x:c r="M1646" s="498"/>
    </x:row>
    <x:row r="1647" ht="18" customHeight="1">
      <x:c r="A1647" s="498"/>
      <x:c r="B1647" s="498"/>
      <x:c r="C1647" s="498"/>
      <x:c r="D1647" s="498"/>
      <x:c r="E1647" s="498"/>
      <x:c r="F1647" s="498"/>
      <x:c r="G1647" s="498"/>
      <x:c r="H1647" s="498"/>
      <x:c r="I1647" s="498"/>
      <x:c r="J1647" s="498"/>
      <x:c r="K1647" s="498"/>
      <x:c r="L1647" s="498"/>
      <x:c r="M1647" s="498"/>
    </x:row>
    <x:row r="1648" ht="18" customHeight="1">
      <x:c r="A1648" s="498"/>
      <x:c r="B1648" s="498"/>
      <x:c r="C1648" s="498"/>
      <x:c r="D1648" s="498"/>
      <x:c r="E1648" s="498"/>
      <x:c r="F1648" s="498"/>
      <x:c r="G1648" s="498"/>
      <x:c r="H1648" s="498"/>
      <x:c r="I1648" s="498"/>
      <x:c r="J1648" s="498"/>
      <x:c r="K1648" s="498"/>
      <x:c r="L1648" s="498"/>
      <x:c r="M1648" s="498"/>
    </x:row>
    <x:row r="1649" ht="18" customHeight="1">
      <x:c r="A1649" s="498"/>
      <x:c r="B1649" s="498"/>
      <x:c r="C1649" s="498"/>
      <x:c r="D1649" s="498"/>
      <x:c r="E1649" s="498"/>
      <x:c r="F1649" s="498"/>
      <x:c r="G1649" s="498"/>
      <x:c r="H1649" s="498"/>
      <x:c r="I1649" s="498"/>
      <x:c r="J1649" s="498"/>
      <x:c r="K1649" s="498"/>
      <x:c r="L1649" s="498"/>
      <x:c r="M1649" s="498"/>
    </x:row>
    <x:row r="1650" ht="18" customHeight="1">
      <x:c r="A1650" s="498"/>
      <x:c r="B1650" s="498"/>
      <x:c r="C1650" s="498"/>
      <x:c r="D1650" s="498"/>
      <x:c r="E1650" s="498"/>
      <x:c r="F1650" s="498"/>
      <x:c r="G1650" s="498"/>
      <x:c r="H1650" s="498"/>
      <x:c r="I1650" s="498"/>
      <x:c r="J1650" s="498"/>
      <x:c r="K1650" s="498"/>
      <x:c r="L1650" s="498"/>
      <x:c r="M1650" s="498"/>
    </x:row>
    <x:row r="1651" ht="18" customHeight="1">
      <x:c r="A1651" s="498"/>
      <x:c r="B1651" s="498"/>
      <x:c r="C1651" s="498"/>
      <x:c r="D1651" s="498"/>
      <x:c r="E1651" s="498"/>
      <x:c r="F1651" s="498"/>
      <x:c r="G1651" s="498"/>
      <x:c r="H1651" s="498"/>
      <x:c r="I1651" s="498"/>
      <x:c r="J1651" s="498"/>
      <x:c r="K1651" s="498"/>
      <x:c r="L1651" s="498"/>
      <x:c r="M1651" s="498"/>
    </x:row>
    <x:row r="1652" ht="18" customHeight="1">
      <x:c r="A1652" s="498"/>
      <x:c r="B1652" s="498"/>
      <x:c r="C1652" s="498"/>
      <x:c r="D1652" s="498"/>
      <x:c r="E1652" s="498"/>
      <x:c r="F1652" s="498"/>
      <x:c r="G1652" s="498"/>
      <x:c r="H1652" s="498"/>
      <x:c r="I1652" s="498"/>
      <x:c r="J1652" s="498"/>
      <x:c r="K1652" s="498"/>
      <x:c r="L1652" s="498"/>
      <x:c r="M1652" s="498"/>
    </x:row>
    <x:row r="1653" ht="18" customHeight="1">
      <x:c r="A1653" s="498"/>
      <x:c r="B1653" s="498"/>
      <x:c r="C1653" s="498"/>
      <x:c r="D1653" s="498"/>
      <x:c r="E1653" s="498"/>
      <x:c r="F1653" s="498"/>
      <x:c r="G1653" s="498"/>
      <x:c r="H1653" s="498"/>
      <x:c r="I1653" s="498"/>
      <x:c r="J1653" s="498"/>
      <x:c r="K1653" s="498"/>
      <x:c r="L1653" s="498"/>
      <x:c r="M1653" s="498"/>
    </x:row>
    <x:row r="1654" ht="18" customHeight="1">
      <x:c r="A1654" s="498"/>
      <x:c r="B1654" s="498"/>
      <x:c r="C1654" s="498"/>
      <x:c r="D1654" s="498"/>
      <x:c r="E1654" s="498"/>
      <x:c r="F1654" s="498"/>
      <x:c r="G1654" s="498"/>
      <x:c r="H1654" s="498"/>
      <x:c r="I1654" s="498"/>
      <x:c r="J1654" s="498"/>
      <x:c r="K1654" s="498"/>
      <x:c r="L1654" s="498"/>
      <x:c r="M1654" s="498"/>
    </x:row>
    <x:row r="1655" ht="18" customHeight="1">
      <x:c r="A1655" s="498"/>
      <x:c r="B1655" s="498"/>
      <x:c r="C1655" s="498"/>
      <x:c r="D1655" s="498"/>
      <x:c r="E1655" s="498"/>
      <x:c r="F1655" s="498"/>
      <x:c r="G1655" s="498"/>
      <x:c r="H1655" s="498"/>
      <x:c r="I1655" s="498"/>
      <x:c r="J1655" s="498"/>
      <x:c r="K1655" s="498"/>
      <x:c r="L1655" s="498"/>
      <x:c r="M1655" s="498"/>
    </x:row>
    <x:row r="1656" ht="18" customHeight="1">
      <x:c r="A1656" s="498"/>
      <x:c r="B1656" s="498"/>
      <x:c r="C1656" s="498"/>
      <x:c r="D1656" s="498"/>
      <x:c r="E1656" s="498"/>
      <x:c r="F1656" s="498"/>
      <x:c r="G1656" s="498"/>
      <x:c r="H1656" s="498"/>
      <x:c r="I1656" s="498"/>
      <x:c r="J1656" s="498"/>
      <x:c r="K1656" s="498"/>
      <x:c r="L1656" s="498"/>
      <x:c r="M1656" s="498"/>
    </x:row>
    <x:row r="1657" ht="18" customHeight="1">
      <x:c r="A1657" s="498"/>
      <x:c r="B1657" s="498"/>
      <x:c r="C1657" s="498"/>
      <x:c r="D1657" s="498"/>
      <x:c r="E1657" s="498"/>
      <x:c r="F1657" s="498"/>
      <x:c r="G1657" s="498"/>
      <x:c r="H1657" s="498"/>
      <x:c r="I1657" s="498"/>
      <x:c r="J1657" s="498"/>
      <x:c r="K1657" s="498"/>
      <x:c r="L1657" s="498"/>
      <x:c r="M1657" s="498"/>
    </x:row>
    <x:row r="1658" ht="18" customHeight="1">
      <x:c r="A1658" s="498"/>
      <x:c r="B1658" s="498"/>
      <x:c r="C1658" s="498"/>
      <x:c r="D1658" s="498"/>
      <x:c r="E1658" s="498"/>
      <x:c r="F1658" s="498"/>
      <x:c r="G1658" s="498"/>
      <x:c r="H1658" s="498"/>
      <x:c r="I1658" s="498"/>
      <x:c r="J1658" s="498"/>
      <x:c r="K1658" s="498"/>
      <x:c r="L1658" s="498"/>
      <x:c r="M1658" s="498"/>
    </x:row>
    <x:row r="1659" ht="18" customHeight="1">
      <x:c r="A1659" s="498"/>
      <x:c r="B1659" s="498"/>
      <x:c r="C1659" s="498"/>
      <x:c r="D1659" s="498"/>
      <x:c r="E1659" s="498"/>
      <x:c r="F1659" s="498"/>
      <x:c r="G1659" s="498"/>
      <x:c r="H1659" s="498"/>
      <x:c r="I1659" s="498"/>
      <x:c r="J1659" s="498"/>
      <x:c r="K1659" s="498"/>
      <x:c r="L1659" s="498"/>
      <x:c r="M1659" s="498"/>
    </x:row>
    <x:row r="1660" ht="18" customHeight="1">
      <x:c r="A1660" s="498"/>
      <x:c r="B1660" s="498"/>
      <x:c r="C1660" s="498"/>
      <x:c r="D1660" s="498"/>
      <x:c r="E1660" s="498"/>
      <x:c r="F1660" s="498"/>
      <x:c r="G1660" s="498"/>
      <x:c r="H1660" s="498"/>
      <x:c r="I1660" s="498"/>
      <x:c r="J1660" s="498"/>
      <x:c r="K1660" s="498"/>
      <x:c r="L1660" s="498"/>
      <x:c r="M1660" s="498"/>
    </x:row>
    <x:row r="1661" ht="18" customHeight="1">
      <x:c r="A1661" s="498"/>
      <x:c r="B1661" s="498"/>
      <x:c r="C1661" s="498"/>
      <x:c r="D1661" s="498"/>
      <x:c r="E1661" s="498"/>
      <x:c r="F1661" s="498"/>
      <x:c r="G1661" s="498"/>
      <x:c r="H1661" s="498"/>
      <x:c r="I1661" s="498"/>
      <x:c r="J1661" s="498"/>
      <x:c r="K1661" s="498"/>
      <x:c r="L1661" s="498"/>
      <x:c r="M1661" s="498"/>
    </x:row>
    <x:row r="1662" ht="18" customHeight="1">
      <x:c r="A1662" s="498"/>
      <x:c r="B1662" s="498"/>
      <x:c r="C1662" s="498"/>
      <x:c r="D1662" s="498"/>
      <x:c r="E1662" s="498"/>
      <x:c r="F1662" s="498"/>
      <x:c r="G1662" s="498"/>
      <x:c r="H1662" s="498"/>
      <x:c r="I1662" s="498"/>
      <x:c r="J1662" s="498"/>
      <x:c r="K1662" s="498"/>
      <x:c r="L1662" s="498"/>
      <x:c r="M1662" s="498"/>
    </x:row>
    <x:row r="1663" ht="18" customHeight="1">
      <x:c r="A1663" s="498"/>
      <x:c r="B1663" s="498"/>
      <x:c r="C1663" s="498"/>
      <x:c r="D1663" s="498"/>
      <x:c r="E1663" s="498"/>
      <x:c r="F1663" s="498"/>
      <x:c r="G1663" s="498"/>
      <x:c r="H1663" s="498"/>
      <x:c r="I1663" s="498"/>
      <x:c r="J1663" s="498"/>
      <x:c r="K1663" s="498"/>
      <x:c r="L1663" s="498"/>
      <x:c r="M1663" s="498"/>
    </x:row>
    <x:row r="1664" ht="18" customHeight="1">
      <x:c r="A1664" s="498"/>
      <x:c r="B1664" s="498"/>
      <x:c r="C1664" s="498"/>
      <x:c r="D1664" s="498"/>
      <x:c r="E1664" s="498"/>
      <x:c r="F1664" s="498"/>
      <x:c r="G1664" s="498"/>
      <x:c r="H1664" s="498"/>
      <x:c r="I1664" s="498"/>
      <x:c r="J1664" s="498"/>
      <x:c r="K1664" s="498"/>
      <x:c r="L1664" s="498"/>
      <x:c r="M1664" s="498"/>
    </x:row>
    <x:row r="1665" ht="18" customHeight="1">
      <x:c r="A1665" s="498"/>
      <x:c r="B1665" s="498"/>
      <x:c r="C1665" s="498"/>
      <x:c r="D1665" s="498"/>
      <x:c r="E1665" s="498"/>
      <x:c r="F1665" s="498"/>
      <x:c r="G1665" s="498"/>
      <x:c r="H1665" s="498"/>
      <x:c r="I1665" s="498"/>
      <x:c r="J1665" s="498"/>
      <x:c r="K1665" s="498"/>
      <x:c r="L1665" s="498"/>
      <x:c r="M1665" s="498"/>
    </x:row>
    <x:row r="1666" ht="18" customHeight="1">
      <x:c r="A1666" s="498"/>
      <x:c r="B1666" s="498"/>
      <x:c r="C1666" s="498"/>
      <x:c r="D1666" s="498"/>
      <x:c r="E1666" s="498"/>
      <x:c r="F1666" s="498"/>
      <x:c r="G1666" s="498"/>
      <x:c r="H1666" s="498"/>
      <x:c r="I1666" s="498"/>
      <x:c r="J1666" s="498"/>
      <x:c r="K1666" s="498"/>
      <x:c r="L1666" s="498"/>
      <x:c r="M1666" s="498"/>
    </x:row>
    <x:row r="1667" ht="18" customHeight="1">
      <x:c r="A1667" s="498"/>
      <x:c r="B1667" s="498"/>
      <x:c r="C1667" s="498"/>
      <x:c r="D1667" s="498"/>
      <x:c r="E1667" s="498"/>
      <x:c r="F1667" s="498"/>
      <x:c r="G1667" s="498"/>
      <x:c r="H1667" s="498"/>
      <x:c r="I1667" s="498"/>
      <x:c r="J1667" s="498"/>
      <x:c r="K1667" s="498"/>
      <x:c r="L1667" s="498"/>
      <x:c r="M1667" s="498"/>
    </x:row>
    <x:row r="1668" ht="18" customHeight="1">
      <x:c r="A1668" s="498"/>
      <x:c r="B1668" s="498"/>
      <x:c r="C1668" s="498"/>
      <x:c r="D1668" s="498"/>
      <x:c r="E1668" s="498"/>
      <x:c r="F1668" s="498"/>
      <x:c r="G1668" s="498"/>
      <x:c r="H1668" s="498"/>
      <x:c r="I1668" s="498"/>
      <x:c r="J1668" s="498"/>
      <x:c r="K1668" s="498"/>
      <x:c r="L1668" s="498"/>
      <x:c r="M1668" s="498"/>
    </x:row>
    <x:row r="1669" ht="18" customHeight="1">
      <x:c r="A1669" s="498"/>
      <x:c r="B1669" s="498"/>
      <x:c r="C1669" s="498"/>
      <x:c r="D1669" s="498"/>
      <x:c r="E1669" s="498"/>
      <x:c r="F1669" s="498"/>
      <x:c r="G1669" s="498"/>
      <x:c r="H1669" s="498"/>
      <x:c r="I1669" s="498"/>
      <x:c r="J1669" s="498"/>
      <x:c r="K1669" s="498"/>
      <x:c r="L1669" s="498"/>
      <x:c r="M1669" s="498"/>
    </x:row>
    <x:row r="1670" ht="18" customHeight="1">
      <x:c r="A1670" s="498"/>
      <x:c r="B1670" s="498"/>
      <x:c r="C1670" s="498"/>
      <x:c r="D1670" s="498"/>
      <x:c r="E1670" s="498"/>
      <x:c r="F1670" s="498"/>
      <x:c r="G1670" s="498"/>
      <x:c r="H1670" s="498"/>
      <x:c r="I1670" s="498"/>
      <x:c r="J1670" s="498"/>
      <x:c r="K1670" s="498"/>
      <x:c r="L1670" s="498"/>
      <x:c r="M1670" s="498"/>
    </x:row>
    <x:row r="1671" ht="18" customHeight="1">
      <x:c r="A1671" s="498"/>
      <x:c r="B1671" s="498"/>
      <x:c r="C1671" s="498"/>
      <x:c r="D1671" s="498"/>
      <x:c r="E1671" s="498"/>
      <x:c r="F1671" s="498"/>
      <x:c r="G1671" s="498"/>
      <x:c r="H1671" s="498"/>
      <x:c r="I1671" s="498"/>
      <x:c r="J1671" s="498"/>
      <x:c r="K1671" s="498"/>
      <x:c r="L1671" s="498"/>
      <x:c r="M1671" s="498"/>
    </x:row>
    <x:row r="1672" ht="18" customHeight="1">
      <x:c r="A1672" s="498"/>
      <x:c r="B1672" s="498"/>
      <x:c r="C1672" s="498"/>
      <x:c r="D1672" s="498"/>
      <x:c r="E1672" s="498"/>
      <x:c r="F1672" s="498"/>
      <x:c r="G1672" s="498"/>
      <x:c r="H1672" s="498"/>
      <x:c r="I1672" s="498"/>
      <x:c r="J1672" s="498"/>
      <x:c r="K1672" s="498"/>
      <x:c r="L1672" s="498"/>
      <x:c r="M1672" s="498"/>
    </x:row>
    <x:row r="1673" ht="18" customHeight="1">
      <x:c r="A1673" s="498"/>
      <x:c r="B1673" s="498"/>
      <x:c r="C1673" s="498"/>
      <x:c r="D1673" s="498"/>
      <x:c r="E1673" s="498"/>
      <x:c r="F1673" s="498"/>
      <x:c r="G1673" s="498"/>
      <x:c r="H1673" s="498"/>
      <x:c r="I1673" s="498"/>
      <x:c r="J1673" s="498"/>
      <x:c r="K1673" s="498"/>
      <x:c r="L1673" s="498"/>
      <x:c r="M1673" s="498"/>
    </x:row>
    <x:row r="1674" ht="18" customHeight="1">
      <x:c r="A1674" s="498"/>
      <x:c r="B1674" s="498"/>
      <x:c r="C1674" s="498"/>
      <x:c r="D1674" s="498"/>
      <x:c r="E1674" s="498"/>
      <x:c r="F1674" s="498"/>
      <x:c r="G1674" s="498"/>
      <x:c r="H1674" s="498"/>
      <x:c r="I1674" s="498"/>
      <x:c r="J1674" s="498"/>
      <x:c r="K1674" s="498"/>
      <x:c r="L1674" s="498"/>
      <x:c r="M1674" s="498"/>
    </x:row>
    <x:row r="1675" ht="18" customHeight="1">
      <x:c r="A1675" s="498"/>
      <x:c r="B1675" s="498"/>
      <x:c r="C1675" s="498"/>
      <x:c r="D1675" s="498"/>
      <x:c r="E1675" s="498"/>
      <x:c r="F1675" s="498"/>
      <x:c r="G1675" s="498"/>
      <x:c r="H1675" s="498"/>
      <x:c r="I1675" s="498"/>
      <x:c r="J1675" s="498"/>
      <x:c r="K1675" s="498"/>
      <x:c r="L1675" s="498"/>
      <x:c r="M1675" s="498"/>
    </x:row>
    <x:row r="1676" ht="18" customHeight="1">
      <x:c r="A1676" s="498"/>
      <x:c r="B1676" s="498"/>
      <x:c r="C1676" s="498"/>
      <x:c r="D1676" s="498"/>
      <x:c r="E1676" s="498"/>
      <x:c r="F1676" s="498"/>
      <x:c r="G1676" s="498"/>
      <x:c r="H1676" s="498"/>
      <x:c r="I1676" s="498"/>
      <x:c r="J1676" s="498"/>
      <x:c r="K1676" s="498"/>
      <x:c r="L1676" s="498"/>
      <x:c r="M1676" s="498"/>
    </x:row>
    <x:row r="1677" ht="18" customHeight="1">
      <x:c r="A1677" s="498"/>
      <x:c r="B1677" s="498"/>
      <x:c r="C1677" s="498"/>
      <x:c r="D1677" s="498"/>
      <x:c r="E1677" s="498"/>
      <x:c r="F1677" s="498"/>
      <x:c r="G1677" s="498"/>
      <x:c r="H1677" s="498"/>
      <x:c r="I1677" s="498"/>
      <x:c r="J1677" s="498"/>
      <x:c r="K1677" s="498"/>
      <x:c r="L1677" s="498"/>
      <x:c r="M1677" s="498"/>
    </x:row>
    <x:row r="1678" ht="18" customHeight="1">
      <x:c r="A1678" s="498"/>
      <x:c r="B1678" s="498"/>
      <x:c r="C1678" s="498"/>
      <x:c r="D1678" s="498"/>
      <x:c r="E1678" s="498"/>
      <x:c r="F1678" s="498"/>
      <x:c r="G1678" s="498"/>
      <x:c r="H1678" s="498"/>
      <x:c r="I1678" s="498"/>
      <x:c r="J1678" s="498"/>
      <x:c r="K1678" s="498"/>
      <x:c r="L1678" s="498"/>
      <x:c r="M1678" s="498"/>
    </x:row>
    <x:row r="1679" ht="18" customHeight="1">
      <x:c r="A1679" s="498"/>
      <x:c r="B1679" s="498"/>
      <x:c r="C1679" s="498"/>
      <x:c r="D1679" s="498"/>
      <x:c r="E1679" s="498"/>
      <x:c r="F1679" s="498"/>
      <x:c r="G1679" s="498"/>
      <x:c r="H1679" s="498"/>
      <x:c r="I1679" s="498"/>
      <x:c r="J1679" s="498"/>
      <x:c r="K1679" s="498"/>
      <x:c r="L1679" s="498"/>
      <x:c r="M1679" s="498"/>
    </x:row>
    <x:row r="1680" ht="18" customHeight="1">
      <x:c r="A1680" s="498"/>
      <x:c r="B1680" s="498"/>
      <x:c r="C1680" s="498"/>
      <x:c r="D1680" s="498"/>
      <x:c r="E1680" s="498"/>
      <x:c r="F1680" s="498"/>
      <x:c r="G1680" s="498"/>
      <x:c r="H1680" s="498"/>
      <x:c r="I1680" s="498"/>
      <x:c r="J1680" s="498"/>
      <x:c r="K1680" s="498"/>
      <x:c r="L1680" s="498"/>
      <x:c r="M1680" s="498"/>
    </x:row>
    <x:row r="1681" ht="18" customHeight="1">
      <x:c r="A1681" s="498"/>
      <x:c r="B1681" s="498"/>
      <x:c r="C1681" s="498"/>
      <x:c r="D1681" s="498"/>
      <x:c r="E1681" s="498"/>
      <x:c r="F1681" s="498"/>
      <x:c r="G1681" s="498"/>
      <x:c r="H1681" s="498"/>
      <x:c r="I1681" s="498"/>
      <x:c r="J1681" s="498"/>
      <x:c r="K1681" s="498"/>
      <x:c r="L1681" s="498"/>
      <x:c r="M1681" s="498"/>
    </x:row>
    <x:row r="1682" ht="18" customHeight="1">
      <x:c r="A1682" s="498"/>
      <x:c r="B1682" s="498"/>
      <x:c r="C1682" s="498"/>
      <x:c r="D1682" s="498"/>
      <x:c r="E1682" s="498"/>
      <x:c r="F1682" s="498"/>
      <x:c r="G1682" s="498"/>
      <x:c r="H1682" s="498"/>
      <x:c r="I1682" s="498"/>
      <x:c r="J1682" s="498"/>
      <x:c r="K1682" s="498"/>
      <x:c r="L1682" s="498"/>
      <x:c r="M1682" s="498"/>
    </x:row>
    <x:row r="1683" ht="18" customHeight="1">
      <x:c r="A1683" s="498"/>
      <x:c r="B1683" s="498"/>
      <x:c r="C1683" s="498"/>
      <x:c r="D1683" s="498"/>
      <x:c r="E1683" s="498"/>
      <x:c r="F1683" s="498"/>
      <x:c r="G1683" s="498"/>
      <x:c r="H1683" s="498"/>
      <x:c r="I1683" s="498"/>
      <x:c r="J1683" s="498"/>
      <x:c r="K1683" s="498"/>
      <x:c r="L1683" s="498"/>
      <x:c r="M1683" s="498"/>
    </x:row>
    <x:row r="1684" ht="18" customHeight="1">
      <x:c r="A1684" s="498"/>
      <x:c r="B1684" s="498"/>
      <x:c r="C1684" s="498"/>
      <x:c r="D1684" s="498"/>
      <x:c r="E1684" s="498"/>
      <x:c r="F1684" s="498"/>
      <x:c r="G1684" s="498"/>
      <x:c r="H1684" s="498"/>
      <x:c r="I1684" s="498"/>
      <x:c r="J1684" s="498"/>
      <x:c r="K1684" s="498"/>
      <x:c r="L1684" s="498"/>
      <x:c r="M1684" s="498"/>
    </x:row>
    <x:row r="1685" ht="18" customHeight="1">
      <x:c r="A1685" s="498"/>
      <x:c r="B1685" s="498"/>
      <x:c r="C1685" s="498"/>
      <x:c r="D1685" s="498"/>
      <x:c r="E1685" s="498"/>
      <x:c r="F1685" s="498"/>
      <x:c r="G1685" s="498"/>
      <x:c r="H1685" s="498"/>
      <x:c r="I1685" s="498"/>
      <x:c r="J1685" s="498"/>
      <x:c r="K1685" s="498"/>
      <x:c r="L1685" s="498"/>
      <x:c r="M1685" s="498"/>
    </x:row>
    <x:row r="1686" ht="18" customHeight="1">
      <x:c r="A1686" s="498"/>
      <x:c r="B1686" s="498"/>
      <x:c r="C1686" s="498"/>
      <x:c r="D1686" s="498"/>
      <x:c r="E1686" s="498"/>
      <x:c r="F1686" s="498"/>
      <x:c r="G1686" s="498"/>
      <x:c r="H1686" s="498"/>
      <x:c r="I1686" s="498"/>
      <x:c r="J1686" s="498"/>
      <x:c r="K1686" s="498"/>
      <x:c r="L1686" s="498"/>
      <x:c r="M1686" s="498"/>
    </x:row>
    <x:row r="1687" ht="18" customHeight="1">
      <x:c r="A1687" s="498"/>
      <x:c r="B1687" s="498"/>
      <x:c r="C1687" s="498"/>
      <x:c r="D1687" s="498"/>
      <x:c r="E1687" s="498"/>
      <x:c r="F1687" s="498"/>
      <x:c r="G1687" s="498"/>
      <x:c r="H1687" s="498"/>
      <x:c r="I1687" s="498"/>
      <x:c r="J1687" s="498"/>
      <x:c r="K1687" s="498"/>
      <x:c r="L1687" s="498"/>
      <x:c r="M1687" s="498"/>
    </x:row>
    <x:row r="1688" ht="18" customHeight="1">
      <x:c r="A1688" s="498"/>
      <x:c r="B1688" s="498"/>
      <x:c r="C1688" s="498"/>
      <x:c r="D1688" s="498"/>
      <x:c r="E1688" s="498"/>
      <x:c r="F1688" s="498"/>
      <x:c r="G1688" s="498"/>
      <x:c r="H1688" s="498"/>
      <x:c r="I1688" s="498"/>
      <x:c r="J1688" s="498"/>
      <x:c r="K1688" s="498"/>
      <x:c r="L1688" s="498"/>
      <x:c r="M1688" s="498"/>
    </x:row>
    <x:row r="1689" ht="18" customHeight="1">
      <x:c r="A1689" s="498"/>
      <x:c r="B1689" s="498"/>
      <x:c r="C1689" s="498"/>
      <x:c r="D1689" s="498"/>
      <x:c r="E1689" s="498"/>
      <x:c r="F1689" s="498"/>
      <x:c r="G1689" s="498"/>
      <x:c r="H1689" s="498"/>
      <x:c r="I1689" s="498"/>
      <x:c r="J1689" s="498"/>
      <x:c r="K1689" s="498"/>
      <x:c r="L1689" s="498"/>
      <x:c r="M1689" s="498"/>
    </x:row>
    <x:row r="1690" ht="18" customHeight="1">
      <x:c r="A1690" s="498"/>
      <x:c r="B1690" s="498"/>
      <x:c r="C1690" s="498"/>
      <x:c r="D1690" s="498"/>
      <x:c r="E1690" s="498"/>
      <x:c r="F1690" s="498"/>
      <x:c r="G1690" s="498"/>
      <x:c r="H1690" s="498"/>
      <x:c r="I1690" s="498"/>
      <x:c r="J1690" s="498"/>
      <x:c r="K1690" s="498"/>
      <x:c r="L1690" s="498"/>
      <x:c r="M1690" s="498"/>
    </x:row>
    <x:row r="1691" ht="18" customHeight="1">
      <x:c r="A1691" s="498"/>
      <x:c r="B1691" s="498"/>
      <x:c r="C1691" s="498"/>
      <x:c r="D1691" s="498"/>
      <x:c r="E1691" s="498"/>
      <x:c r="F1691" s="498"/>
      <x:c r="G1691" s="498"/>
      <x:c r="H1691" s="498"/>
      <x:c r="I1691" s="498"/>
      <x:c r="J1691" s="498"/>
      <x:c r="K1691" s="498"/>
      <x:c r="L1691" s="498"/>
      <x:c r="M1691" s="498"/>
    </x:row>
    <x:row r="1692" ht="18" customHeight="1">
      <x:c r="A1692" s="498"/>
      <x:c r="B1692" s="498"/>
      <x:c r="C1692" s="498"/>
      <x:c r="D1692" s="498"/>
      <x:c r="E1692" s="498"/>
      <x:c r="F1692" s="498"/>
      <x:c r="G1692" s="498"/>
      <x:c r="H1692" s="498"/>
      <x:c r="I1692" s="498"/>
      <x:c r="J1692" s="498"/>
      <x:c r="K1692" s="498"/>
      <x:c r="L1692" s="498"/>
      <x:c r="M1692" s="498"/>
    </x:row>
    <x:row r="1693" ht="18" customHeight="1">
      <x:c r="A1693" s="498"/>
      <x:c r="B1693" s="498"/>
      <x:c r="C1693" s="498"/>
      <x:c r="D1693" s="498"/>
      <x:c r="E1693" s="498"/>
      <x:c r="F1693" s="498"/>
      <x:c r="G1693" s="498"/>
      <x:c r="H1693" s="498"/>
      <x:c r="I1693" s="498"/>
      <x:c r="J1693" s="498"/>
      <x:c r="K1693" s="498"/>
      <x:c r="L1693" s="498"/>
      <x:c r="M1693" s="498"/>
    </x:row>
    <x:row r="1694" ht="18" customHeight="1">
      <x:c r="A1694" s="498"/>
      <x:c r="B1694" s="498"/>
      <x:c r="C1694" s="498"/>
      <x:c r="D1694" s="498"/>
      <x:c r="E1694" s="498"/>
      <x:c r="F1694" s="498"/>
      <x:c r="G1694" s="498"/>
      <x:c r="H1694" s="498"/>
      <x:c r="I1694" s="498"/>
      <x:c r="J1694" s="498"/>
      <x:c r="K1694" s="498"/>
      <x:c r="L1694" s="498"/>
      <x:c r="M1694" s="498"/>
    </x:row>
    <x:row r="1695" ht="18" customHeight="1">
      <x:c r="A1695" s="498"/>
      <x:c r="B1695" s="498"/>
      <x:c r="C1695" s="498"/>
      <x:c r="D1695" s="498"/>
      <x:c r="E1695" s="498"/>
      <x:c r="F1695" s="498"/>
      <x:c r="G1695" s="498"/>
      <x:c r="H1695" s="498"/>
      <x:c r="I1695" s="498"/>
      <x:c r="J1695" s="498"/>
      <x:c r="K1695" s="498"/>
      <x:c r="L1695" s="498"/>
      <x:c r="M1695" s="498"/>
    </x:row>
    <x:row r="1696" ht="18" customHeight="1">
      <x:c r="A1696" s="498"/>
      <x:c r="B1696" s="498"/>
      <x:c r="C1696" s="498"/>
      <x:c r="D1696" s="498"/>
      <x:c r="E1696" s="498"/>
      <x:c r="F1696" s="498"/>
      <x:c r="G1696" s="498"/>
      <x:c r="H1696" s="498"/>
      <x:c r="I1696" s="498"/>
      <x:c r="J1696" s="498"/>
      <x:c r="K1696" s="498"/>
      <x:c r="L1696" s="498"/>
      <x:c r="M1696" s="498"/>
    </x:row>
    <x:row r="1697" ht="18" customHeight="1">
      <x:c r="A1697" s="498"/>
      <x:c r="B1697" s="498"/>
      <x:c r="C1697" s="498"/>
      <x:c r="D1697" s="498"/>
      <x:c r="E1697" s="498"/>
      <x:c r="F1697" s="498"/>
      <x:c r="G1697" s="498"/>
      <x:c r="H1697" s="498"/>
      <x:c r="I1697" s="498"/>
      <x:c r="J1697" s="498"/>
      <x:c r="K1697" s="498"/>
      <x:c r="L1697" s="498"/>
      <x:c r="M1697" s="498"/>
    </x:row>
    <x:row r="1698" ht="18" customHeight="1">
      <x:c r="A1698" s="498"/>
      <x:c r="B1698" s="498"/>
      <x:c r="C1698" s="498"/>
      <x:c r="D1698" s="498"/>
      <x:c r="E1698" s="498"/>
      <x:c r="F1698" s="498"/>
      <x:c r="G1698" s="498"/>
      <x:c r="H1698" s="498"/>
      <x:c r="I1698" s="498"/>
      <x:c r="J1698" s="498"/>
      <x:c r="K1698" s="498"/>
      <x:c r="L1698" s="498"/>
      <x:c r="M1698" s="498"/>
    </x:row>
    <x:row r="1699" ht="18" customHeight="1">
      <x:c r="A1699" s="498"/>
      <x:c r="B1699" s="498"/>
      <x:c r="C1699" s="498"/>
      <x:c r="D1699" s="498"/>
      <x:c r="E1699" s="498"/>
      <x:c r="F1699" s="498"/>
      <x:c r="G1699" s="498"/>
      <x:c r="H1699" s="498"/>
      <x:c r="I1699" s="498"/>
      <x:c r="J1699" s="498"/>
      <x:c r="K1699" s="498"/>
      <x:c r="L1699" s="498"/>
      <x:c r="M1699" s="498"/>
    </x:row>
    <x:row r="1700" ht="18" customHeight="1">
      <x:c r="A1700" s="498"/>
      <x:c r="B1700" s="498"/>
      <x:c r="C1700" s="498"/>
      <x:c r="D1700" s="498"/>
      <x:c r="E1700" s="498"/>
      <x:c r="F1700" s="498"/>
      <x:c r="G1700" s="498"/>
      <x:c r="H1700" s="498"/>
      <x:c r="I1700" s="498"/>
      <x:c r="J1700" s="498"/>
      <x:c r="K1700" s="498"/>
      <x:c r="L1700" s="498"/>
      <x:c r="M1700" s="498"/>
    </x:row>
    <x:row r="1701" ht="18" customHeight="1">
      <x:c r="A1701" s="498"/>
      <x:c r="B1701" s="498"/>
      <x:c r="C1701" s="498"/>
      <x:c r="D1701" s="498"/>
      <x:c r="E1701" s="498"/>
      <x:c r="F1701" s="498"/>
      <x:c r="G1701" s="498"/>
      <x:c r="H1701" s="498"/>
      <x:c r="I1701" s="498"/>
      <x:c r="J1701" s="498"/>
      <x:c r="K1701" s="498"/>
      <x:c r="L1701" s="498"/>
      <x:c r="M1701" s="498"/>
    </x:row>
    <x:row r="1702" ht="18" customHeight="1">
      <x:c r="A1702" s="498"/>
      <x:c r="B1702" s="498"/>
      <x:c r="C1702" s="498"/>
      <x:c r="D1702" s="498"/>
      <x:c r="E1702" s="498"/>
      <x:c r="F1702" s="498"/>
      <x:c r="G1702" s="498"/>
      <x:c r="H1702" s="498"/>
      <x:c r="I1702" s="498"/>
      <x:c r="J1702" s="498"/>
      <x:c r="K1702" s="498"/>
      <x:c r="L1702" s="498"/>
      <x:c r="M1702" s="498"/>
    </x:row>
    <x:row r="1703" ht="18" customHeight="1">
      <x:c r="A1703" s="498"/>
      <x:c r="B1703" s="498"/>
      <x:c r="C1703" s="498"/>
      <x:c r="D1703" s="498"/>
      <x:c r="E1703" s="498"/>
      <x:c r="F1703" s="498"/>
      <x:c r="G1703" s="498"/>
      <x:c r="H1703" s="498"/>
      <x:c r="I1703" s="498"/>
      <x:c r="J1703" s="498"/>
      <x:c r="K1703" s="498"/>
      <x:c r="L1703" s="498"/>
      <x:c r="M1703" s="498"/>
    </x:row>
    <x:row r="1704" ht="18" customHeight="1">
      <x:c r="A1704" s="498"/>
      <x:c r="B1704" s="498"/>
      <x:c r="C1704" s="498"/>
      <x:c r="D1704" s="498"/>
      <x:c r="E1704" s="498"/>
      <x:c r="F1704" s="498"/>
      <x:c r="G1704" s="498"/>
      <x:c r="H1704" s="498"/>
      <x:c r="I1704" s="498"/>
      <x:c r="J1704" s="498"/>
      <x:c r="K1704" s="498"/>
      <x:c r="L1704" s="498"/>
      <x:c r="M1704" s="498"/>
    </x:row>
    <x:row r="1705" ht="18" customHeight="1">
      <x:c r="A1705" s="498"/>
      <x:c r="B1705" s="498"/>
      <x:c r="C1705" s="498"/>
      <x:c r="D1705" s="498"/>
      <x:c r="E1705" s="498"/>
      <x:c r="F1705" s="498"/>
      <x:c r="G1705" s="498"/>
      <x:c r="H1705" s="498"/>
      <x:c r="I1705" s="498"/>
      <x:c r="J1705" s="498"/>
      <x:c r="K1705" s="498"/>
      <x:c r="L1705" s="498"/>
      <x:c r="M1705" s="498"/>
    </x:row>
    <x:row r="1706" ht="18" customHeight="1">
      <x:c r="A1706" s="498"/>
      <x:c r="B1706" s="498"/>
      <x:c r="C1706" s="498"/>
      <x:c r="D1706" s="498"/>
      <x:c r="E1706" s="498"/>
      <x:c r="F1706" s="498"/>
      <x:c r="G1706" s="498"/>
      <x:c r="H1706" s="498"/>
      <x:c r="I1706" s="498"/>
      <x:c r="J1706" s="498"/>
      <x:c r="K1706" s="498"/>
      <x:c r="L1706" s="498"/>
      <x:c r="M1706" s="498"/>
    </x:row>
    <x:row r="1707" ht="18" customHeight="1">
      <x:c r="A1707" s="498"/>
      <x:c r="B1707" s="498"/>
      <x:c r="C1707" s="498"/>
      <x:c r="D1707" s="498"/>
      <x:c r="E1707" s="498"/>
      <x:c r="F1707" s="498"/>
      <x:c r="G1707" s="498"/>
      <x:c r="H1707" s="498"/>
      <x:c r="I1707" s="498"/>
      <x:c r="J1707" s="498"/>
      <x:c r="K1707" s="498"/>
      <x:c r="L1707" s="498"/>
      <x:c r="M1707" s="498"/>
    </x:row>
    <x:row r="1708" ht="18" customHeight="1">
      <x:c r="A1708" s="498"/>
      <x:c r="B1708" s="498"/>
      <x:c r="C1708" s="498"/>
      <x:c r="D1708" s="498"/>
      <x:c r="E1708" s="498"/>
      <x:c r="F1708" s="498"/>
      <x:c r="G1708" s="498"/>
      <x:c r="H1708" s="498"/>
      <x:c r="I1708" s="498"/>
      <x:c r="J1708" s="498"/>
      <x:c r="K1708" s="498"/>
      <x:c r="L1708" s="498"/>
      <x:c r="M1708" s="498"/>
    </x:row>
    <x:row r="1709" ht="18" customHeight="1">
      <x:c r="A1709" s="498"/>
      <x:c r="B1709" s="498"/>
      <x:c r="C1709" s="498"/>
      <x:c r="D1709" s="498"/>
      <x:c r="E1709" s="498"/>
      <x:c r="F1709" s="498"/>
      <x:c r="G1709" s="498"/>
      <x:c r="H1709" s="498"/>
      <x:c r="I1709" s="498"/>
      <x:c r="J1709" s="498"/>
      <x:c r="K1709" s="498"/>
      <x:c r="L1709" s="498"/>
      <x:c r="M1709" s="498"/>
    </x:row>
    <x:row r="1710" ht="18" customHeight="1">
      <x:c r="A1710" s="498"/>
      <x:c r="B1710" s="498"/>
      <x:c r="C1710" s="498"/>
      <x:c r="D1710" s="498"/>
      <x:c r="E1710" s="498"/>
      <x:c r="F1710" s="498"/>
      <x:c r="G1710" s="498"/>
      <x:c r="H1710" s="498"/>
      <x:c r="I1710" s="498"/>
      <x:c r="J1710" s="498"/>
      <x:c r="K1710" s="498"/>
      <x:c r="L1710" s="498"/>
      <x:c r="M1710" s="498"/>
    </x:row>
    <x:row r="1711" ht="18" customHeight="1">
      <x:c r="A1711" s="498"/>
      <x:c r="B1711" s="498"/>
      <x:c r="C1711" s="498"/>
      <x:c r="D1711" s="498"/>
      <x:c r="E1711" s="498"/>
      <x:c r="F1711" s="498"/>
      <x:c r="G1711" s="498"/>
      <x:c r="H1711" s="498"/>
      <x:c r="I1711" s="498"/>
      <x:c r="J1711" s="498"/>
      <x:c r="K1711" s="498"/>
      <x:c r="L1711" s="498"/>
      <x:c r="M1711" s="498"/>
    </x:row>
    <x:row r="1712" ht="18" customHeight="1">
      <x:c r="A1712" s="498"/>
      <x:c r="B1712" s="498"/>
      <x:c r="C1712" s="498"/>
      <x:c r="D1712" s="498"/>
      <x:c r="E1712" s="498"/>
      <x:c r="F1712" s="498"/>
      <x:c r="G1712" s="498"/>
      <x:c r="H1712" s="498"/>
      <x:c r="I1712" s="498"/>
      <x:c r="J1712" s="498"/>
      <x:c r="K1712" s="498"/>
      <x:c r="L1712" s="498"/>
      <x:c r="M1712" s="498"/>
    </x:row>
    <x:row r="1713" ht="18" customHeight="1">
      <x:c r="A1713" s="498"/>
      <x:c r="B1713" s="498"/>
      <x:c r="C1713" s="498"/>
      <x:c r="D1713" s="498"/>
      <x:c r="E1713" s="498"/>
      <x:c r="F1713" s="498"/>
      <x:c r="G1713" s="498"/>
      <x:c r="H1713" s="498"/>
      <x:c r="I1713" s="498"/>
      <x:c r="J1713" s="498"/>
      <x:c r="K1713" s="498"/>
      <x:c r="L1713" s="498"/>
      <x:c r="M1713" s="498"/>
    </x:row>
    <x:row r="1714" ht="18" customHeight="1">
      <x:c r="A1714" s="498"/>
      <x:c r="B1714" s="498"/>
      <x:c r="C1714" s="498"/>
      <x:c r="D1714" s="498"/>
      <x:c r="E1714" s="498"/>
      <x:c r="F1714" s="498"/>
      <x:c r="G1714" s="498"/>
      <x:c r="H1714" s="498"/>
      <x:c r="I1714" s="498"/>
      <x:c r="J1714" s="498"/>
      <x:c r="K1714" s="498"/>
      <x:c r="L1714" s="498"/>
      <x:c r="M1714" s="498"/>
    </x:row>
    <x:row r="1715" ht="18" customHeight="1">
      <x:c r="A1715" s="498"/>
      <x:c r="B1715" s="498"/>
      <x:c r="C1715" s="498"/>
      <x:c r="D1715" s="498"/>
      <x:c r="E1715" s="498"/>
      <x:c r="F1715" s="498"/>
      <x:c r="G1715" s="498"/>
      <x:c r="H1715" s="498"/>
      <x:c r="I1715" s="498"/>
      <x:c r="J1715" s="498"/>
      <x:c r="K1715" s="498"/>
      <x:c r="L1715" s="498"/>
      <x:c r="M1715" s="498"/>
    </x:row>
    <x:row r="1716" ht="18" customHeight="1">
      <x:c r="A1716" s="498"/>
      <x:c r="B1716" s="498"/>
      <x:c r="C1716" s="498"/>
      <x:c r="D1716" s="498"/>
      <x:c r="E1716" s="498"/>
      <x:c r="F1716" s="498"/>
      <x:c r="G1716" s="498"/>
      <x:c r="H1716" s="498"/>
      <x:c r="I1716" s="498"/>
      <x:c r="J1716" s="498"/>
      <x:c r="K1716" s="498"/>
      <x:c r="L1716" s="498"/>
      <x:c r="M1716" s="498"/>
    </x:row>
    <x:row r="1717" ht="18" customHeight="1">
      <x:c r="A1717" s="498"/>
      <x:c r="B1717" s="498"/>
      <x:c r="C1717" s="498"/>
      <x:c r="D1717" s="498"/>
      <x:c r="E1717" s="498"/>
      <x:c r="F1717" s="498"/>
      <x:c r="G1717" s="498"/>
      <x:c r="H1717" s="498"/>
      <x:c r="I1717" s="498"/>
      <x:c r="J1717" s="498"/>
      <x:c r="K1717" s="498"/>
      <x:c r="L1717" s="498"/>
      <x:c r="M1717" s="498"/>
    </x:row>
    <x:row r="1718" ht="18" customHeight="1">
      <x:c r="A1718" s="498"/>
      <x:c r="B1718" s="498"/>
      <x:c r="C1718" s="498"/>
      <x:c r="D1718" s="498"/>
      <x:c r="E1718" s="498"/>
      <x:c r="F1718" s="498"/>
      <x:c r="G1718" s="498"/>
      <x:c r="H1718" s="498"/>
      <x:c r="I1718" s="498"/>
      <x:c r="J1718" s="498"/>
      <x:c r="K1718" s="498"/>
      <x:c r="L1718" s="498"/>
      <x:c r="M1718" s="498"/>
    </x:row>
    <x:row r="1719" ht="18" customHeight="1">
      <x:c r="A1719" s="498"/>
      <x:c r="B1719" s="498"/>
      <x:c r="C1719" s="498"/>
      <x:c r="D1719" s="498"/>
      <x:c r="E1719" s="498"/>
      <x:c r="F1719" s="498"/>
      <x:c r="G1719" s="498"/>
      <x:c r="H1719" s="498"/>
      <x:c r="I1719" s="498"/>
      <x:c r="J1719" s="498"/>
      <x:c r="K1719" s="498"/>
      <x:c r="L1719" s="498"/>
      <x:c r="M1719" s="498"/>
    </x:row>
    <x:row r="1720" ht="18" customHeight="1">
      <x:c r="A1720" s="498"/>
      <x:c r="B1720" s="498"/>
      <x:c r="C1720" s="498"/>
      <x:c r="D1720" s="498"/>
      <x:c r="E1720" s="498"/>
      <x:c r="F1720" s="498"/>
      <x:c r="G1720" s="498"/>
      <x:c r="H1720" s="498"/>
      <x:c r="I1720" s="498"/>
      <x:c r="J1720" s="498"/>
      <x:c r="K1720" s="498"/>
      <x:c r="L1720" s="498"/>
      <x:c r="M1720" s="498"/>
    </x:row>
    <x:row r="1721" ht="18" customHeight="1">
      <x:c r="A1721" s="498"/>
      <x:c r="B1721" s="498"/>
      <x:c r="C1721" s="498"/>
      <x:c r="D1721" s="498"/>
      <x:c r="E1721" s="498"/>
      <x:c r="F1721" s="498"/>
      <x:c r="G1721" s="498"/>
      <x:c r="H1721" s="498"/>
      <x:c r="I1721" s="498"/>
      <x:c r="J1721" s="498"/>
      <x:c r="K1721" s="498"/>
      <x:c r="L1721" s="498"/>
      <x:c r="M1721" s="498"/>
    </x:row>
    <x:row r="1722" ht="18" customHeight="1">
      <x:c r="A1722" s="498"/>
      <x:c r="B1722" s="498"/>
      <x:c r="C1722" s="498"/>
      <x:c r="D1722" s="498"/>
      <x:c r="E1722" s="498"/>
      <x:c r="F1722" s="498"/>
      <x:c r="G1722" s="498"/>
      <x:c r="H1722" s="498"/>
      <x:c r="I1722" s="498"/>
      <x:c r="J1722" s="498"/>
      <x:c r="K1722" s="498"/>
      <x:c r="L1722" s="498"/>
      <x:c r="M1722" s="498"/>
    </x:row>
    <x:row r="1723" ht="18" customHeight="1">
      <x:c r="A1723" s="498"/>
      <x:c r="B1723" s="498"/>
      <x:c r="C1723" s="498"/>
      <x:c r="D1723" s="498"/>
      <x:c r="E1723" s="498"/>
      <x:c r="F1723" s="498"/>
      <x:c r="G1723" s="498"/>
      <x:c r="H1723" s="498"/>
      <x:c r="I1723" s="498"/>
      <x:c r="J1723" s="498"/>
      <x:c r="K1723" s="498"/>
      <x:c r="L1723" s="498"/>
      <x:c r="M1723" s="498"/>
    </x:row>
    <x:row r="1724" ht="18" customHeight="1">
      <x:c r="A1724" s="498"/>
      <x:c r="B1724" s="498"/>
      <x:c r="C1724" s="498"/>
      <x:c r="D1724" s="498"/>
      <x:c r="E1724" s="498"/>
      <x:c r="F1724" s="498"/>
      <x:c r="G1724" s="498"/>
      <x:c r="H1724" s="498"/>
      <x:c r="I1724" s="498"/>
      <x:c r="J1724" s="498"/>
      <x:c r="K1724" s="498"/>
      <x:c r="L1724" s="498"/>
      <x:c r="M1724" s="498"/>
    </x:row>
    <x:row r="1725" ht="18" customHeight="1">
      <x:c r="A1725" s="498"/>
      <x:c r="B1725" s="498"/>
      <x:c r="C1725" s="498"/>
      <x:c r="D1725" s="498"/>
      <x:c r="E1725" s="498"/>
      <x:c r="F1725" s="498"/>
      <x:c r="G1725" s="498"/>
      <x:c r="H1725" s="498"/>
      <x:c r="I1725" s="498"/>
      <x:c r="J1725" s="498"/>
      <x:c r="K1725" s="498"/>
      <x:c r="L1725" s="498"/>
      <x:c r="M1725" s="498"/>
    </x:row>
    <x:row r="1726" ht="18" customHeight="1">
      <x:c r="A1726" s="498"/>
      <x:c r="B1726" s="498"/>
      <x:c r="C1726" s="498"/>
      <x:c r="D1726" s="498"/>
      <x:c r="E1726" s="498"/>
      <x:c r="F1726" s="498"/>
      <x:c r="G1726" s="498"/>
      <x:c r="H1726" s="498"/>
      <x:c r="I1726" s="498"/>
      <x:c r="J1726" s="498"/>
      <x:c r="K1726" s="498"/>
      <x:c r="L1726" s="498"/>
      <x:c r="M1726" s="498"/>
    </x:row>
    <x:row r="1727" ht="18" customHeight="1">
      <x:c r="A1727" s="498"/>
      <x:c r="B1727" s="498"/>
      <x:c r="C1727" s="498"/>
      <x:c r="D1727" s="498"/>
      <x:c r="E1727" s="498"/>
      <x:c r="F1727" s="498"/>
      <x:c r="G1727" s="498"/>
      <x:c r="H1727" s="498"/>
      <x:c r="I1727" s="498"/>
      <x:c r="J1727" s="498"/>
      <x:c r="K1727" s="498"/>
      <x:c r="L1727" s="498"/>
      <x:c r="M1727" s="498"/>
    </x:row>
    <x:row r="1728" ht="18" customHeight="1">
      <x:c r="A1728" s="498"/>
      <x:c r="B1728" s="498"/>
      <x:c r="C1728" s="498"/>
      <x:c r="D1728" s="498"/>
      <x:c r="E1728" s="498"/>
      <x:c r="F1728" s="498"/>
      <x:c r="G1728" s="498"/>
      <x:c r="H1728" s="498"/>
      <x:c r="I1728" s="498"/>
      <x:c r="J1728" s="498"/>
      <x:c r="K1728" s="498"/>
      <x:c r="L1728" s="498"/>
      <x:c r="M1728" s="498"/>
    </x:row>
    <x:row r="1729" ht="18" customHeight="1">
      <x:c r="A1729" s="498"/>
      <x:c r="B1729" s="498"/>
      <x:c r="C1729" s="498"/>
      <x:c r="D1729" s="498"/>
      <x:c r="E1729" s="498"/>
      <x:c r="F1729" s="498"/>
      <x:c r="G1729" s="498"/>
      <x:c r="H1729" s="498"/>
      <x:c r="I1729" s="498"/>
      <x:c r="J1729" s="498"/>
      <x:c r="K1729" s="498"/>
      <x:c r="L1729" s="498"/>
      <x:c r="M1729" s="498"/>
    </x:row>
    <x:row r="1730" ht="18" customHeight="1">
      <x:c r="A1730" s="498"/>
      <x:c r="B1730" s="498"/>
      <x:c r="C1730" s="498"/>
      <x:c r="D1730" s="498"/>
      <x:c r="E1730" s="498"/>
      <x:c r="F1730" s="498"/>
      <x:c r="G1730" s="498"/>
      <x:c r="H1730" s="498"/>
      <x:c r="I1730" s="498"/>
      <x:c r="J1730" s="498"/>
      <x:c r="K1730" s="498"/>
      <x:c r="L1730" s="498"/>
      <x:c r="M1730" s="498"/>
    </x:row>
    <x:row r="1731" ht="18" customHeight="1">
      <x:c r="A1731" s="498"/>
      <x:c r="B1731" s="498"/>
      <x:c r="C1731" s="498"/>
      <x:c r="D1731" s="498"/>
      <x:c r="E1731" s="498"/>
      <x:c r="F1731" s="498"/>
      <x:c r="G1731" s="498"/>
      <x:c r="H1731" s="498"/>
      <x:c r="I1731" s="498"/>
      <x:c r="J1731" s="498"/>
      <x:c r="K1731" s="498"/>
      <x:c r="L1731" s="498"/>
      <x:c r="M1731" s="498"/>
    </x:row>
    <x:row r="1732" ht="18" customHeight="1">
      <x:c r="A1732" s="498"/>
      <x:c r="B1732" s="498"/>
      <x:c r="C1732" s="498"/>
      <x:c r="D1732" s="498"/>
      <x:c r="E1732" s="498"/>
      <x:c r="F1732" s="498"/>
      <x:c r="G1732" s="498"/>
      <x:c r="H1732" s="498"/>
      <x:c r="I1732" s="498"/>
      <x:c r="J1732" s="498"/>
      <x:c r="K1732" s="498"/>
      <x:c r="L1732" s="498"/>
      <x:c r="M1732" s="498"/>
    </x:row>
    <x:row r="1733" ht="18" customHeight="1">
      <x:c r="A1733" s="498"/>
      <x:c r="B1733" s="498"/>
      <x:c r="C1733" s="498"/>
      <x:c r="D1733" s="498"/>
      <x:c r="E1733" s="498"/>
      <x:c r="F1733" s="498"/>
      <x:c r="G1733" s="498"/>
      <x:c r="H1733" s="498"/>
      <x:c r="I1733" s="498"/>
      <x:c r="J1733" s="498"/>
      <x:c r="K1733" s="498"/>
      <x:c r="L1733" s="498"/>
      <x:c r="M1733" s="498"/>
    </x:row>
    <x:row r="1734" ht="18" customHeight="1">
      <x:c r="A1734" s="498"/>
      <x:c r="B1734" s="498"/>
      <x:c r="C1734" s="498"/>
      <x:c r="D1734" s="498"/>
      <x:c r="E1734" s="498"/>
      <x:c r="F1734" s="498"/>
      <x:c r="G1734" s="498"/>
      <x:c r="H1734" s="498"/>
      <x:c r="I1734" s="498"/>
      <x:c r="J1734" s="498"/>
      <x:c r="K1734" s="498"/>
      <x:c r="L1734" s="498"/>
      <x:c r="M1734" s="498"/>
    </x:row>
    <x:row r="1735" ht="18" customHeight="1">
      <x:c r="A1735" s="498"/>
      <x:c r="B1735" s="498"/>
      <x:c r="C1735" s="498"/>
      <x:c r="D1735" s="498"/>
      <x:c r="E1735" s="498"/>
      <x:c r="F1735" s="498"/>
      <x:c r="G1735" s="498"/>
      <x:c r="H1735" s="498"/>
      <x:c r="I1735" s="498"/>
      <x:c r="J1735" s="498"/>
      <x:c r="K1735" s="498"/>
      <x:c r="L1735" s="498"/>
      <x:c r="M1735" s="498"/>
    </x:row>
    <x:row r="1736" ht="18" customHeight="1">
      <x:c r="A1736" s="498"/>
      <x:c r="B1736" s="498"/>
      <x:c r="C1736" s="498"/>
      <x:c r="D1736" s="498"/>
      <x:c r="E1736" s="498"/>
      <x:c r="F1736" s="498"/>
      <x:c r="G1736" s="498"/>
      <x:c r="H1736" s="498"/>
      <x:c r="I1736" s="498"/>
      <x:c r="J1736" s="498"/>
      <x:c r="K1736" s="498"/>
      <x:c r="L1736" s="498"/>
      <x:c r="M1736" s="498"/>
    </x:row>
    <x:row r="1737" ht="18" customHeight="1">
      <x:c r="A1737" s="498"/>
      <x:c r="B1737" s="498"/>
      <x:c r="C1737" s="498"/>
      <x:c r="D1737" s="498"/>
      <x:c r="E1737" s="498"/>
      <x:c r="F1737" s="498"/>
      <x:c r="G1737" s="498"/>
      <x:c r="H1737" s="498"/>
      <x:c r="I1737" s="498"/>
      <x:c r="J1737" s="498"/>
      <x:c r="K1737" s="498"/>
      <x:c r="L1737" s="498"/>
      <x:c r="M1737" s="498"/>
    </x:row>
    <x:row r="1738" ht="18" customHeight="1">
      <x:c r="A1738" s="498"/>
      <x:c r="B1738" s="498"/>
      <x:c r="C1738" s="498"/>
      <x:c r="D1738" s="498"/>
      <x:c r="E1738" s="498"/>
      <x:c r="F1738" s="498"/>
      <x:c r="G1738" s="498"/>
      <x:c r="H1738" s="498"/>
      <x:c r="I1738" s="498"/>
      <x:c r="J1738" s="498"/>
      <x:c r="K1738" s="498"/>
      <x:c r="L1738" s="498"/>
      <x:c r="M1738" s="498"/>
    </x:row>
    <x:row r="1739" ht="18" customHeight="1">
      <x:c r="A1739" s="498"/>
      <x:c r="B1739" s="498"/>
      <x:c r="C1739" s="498"/>
      <x:c r="D1739" s="498"/>
      <x:c r="E1739" s="498"/>
      <x:c r="F1739" s="498"/>
      <x:c r="G1739" s="498"/>
      <x:c r="H1739" s="498"/>
      <x:c r="I1739" s="498"/>
      <x:c r="J1739" s="498"/>
      <x:c r="K1739" s="498"/>
      <x:c r="L1739" s="498"/>
      <x:c r="M1739" s="498"/>
    </x:row>
    <x:row r="1740" ht="18" customHeight="1">
      <x:c r="A1740" s="498"/>
      <x:c r="B1740" s="498"/>
      <x:c r="C1740" s="498"/>
      <x:c r="D1740" s="498"/>
      <x:c r="E1740" s="498"/>
      <x:c r="F1740" s="498"/>
      <x:c r="G1740" s="498"/>
      <x:c r="H1740" s="498"/>
      <x:c r="I1740" s="498"/>
      <x:c r="J1740" s="498"/>
      <x:c r="K1740" s="498"/>
      <x:c r="L1740" s="498"/>
      <x:c r="M1740" s="498"/>
    </x:row>
    <x:row r="1741" ht="18" customHeight="1">
      <x:c r="A1741" s="498"/>
      <x:c r="B1741" s="498"/>
      <x:c r="C1741" s="498"/>
      <x:c r="D1741" s="498"/>
      <x:c r="E1741" s="498"/>
      <x:c r="F1741" s="498"/>
      <x:c r="G1741" s="498"/>
      <x:c r="H1741" s="498"/>
      <x:c r="I1741" s="498"/>
      <x:c r="J1741" s="498"/>
      <x:c r="K1741" s="498"/>
      <x:c r="L1741" s="498"/>
      <x:c r="M1741" s="498"/>
    </x:row>
    <x:row r="1742" ht="18" customHeight="1">
      <x:c r="A1742" s="498"/>
      <x:c r="B1742" s="498"/>
      <x:c r="C1742" s="498"/>
      <x:c r="D1742" s="498"/>
      <x:c r="E1742" s="498"/>
      <x:c r="F1742" s="498"/>
      <x:c r="G1742" s="498"/>
      <x:c r="H1742" s="498"/>
      <x:c r="I1742" s="498"/>
      <x:c r="J1742" s="498"/>
      <x:c r="K1742" s="498"/>
      <x:c r="L1742" s="498"/>
      <x:c r="M1742" s="498"/>
    </x:row>
    <x:row r="1743" ht="18" customHeight="1">
      <x:c r="A1743" s="498"/>
      <x:c r="B1743" s="498"/>
      <x:c r="C1743" s="498"/>
      <x:c r="D1743" s="498"/>
      <x:c r="E1743" s="498"/>
      <x:c r="F1743" s="498"/>
      <x:c r="G1743" s="498"/>
      <x:c r="H1743" s="498"/>
      <x:c r="I1743" s="498"/>
      <x:c r="J1743" s="498"/>
      <x:c r="K1743" s="498"/>
      <x:c r="L1743" s="498"/>
      <x:c r="M1743" s="498"/>
    </x:row>
    <x:row r="1744" ht="18" customHeight="1">
      <x:c r="A1744" s="498"/>
      <x:c r="B1744" s="498"/>
      <x:c r="C1744" s="498"/>
      <x:c r="D1744" s="498"/>
      <x:c r="E1744" s="498"/>
      <x:c r="F1744" s="498"/>
      <x:c r="G1744" s="498"/>
      <x:c r="H1744" s="498"/>
      <x:c r="I1744" s="498"/>
      <x:c r="J1744" s="498"/>
      <x:c r="K1744" s="498"/>
      <x:c r="L1744" s="498"/>
      <x:c r="M1744" s="498"/>
    </x:row>
    <x:row r="1745" ht="18" customHeight="1">
      <x:c r="A1745" s="498"/>
      <x:c r="B1745" s="498"/>
      <x:c r="C1745" s="498"/>
      <x:c r="D1745" s="498"/>
      <x:c r="E1745" s="498"/>
      <x:c r="F1745" s="498"/>
      <x:c r="G1745" s="498"/>
      <x:c r="H1745" s="498"/>
      <x:c r="I1745" s="498"/>
      <x:c r="J1745" s="498"/>
      <x:c r="K1745" s="498"/>
      <x:c r="L1745" s="498"/>
      <x:c r="M1745" s="498"/>
    </x:row>
    <x:row r="1746" ht="18" customHeight="1">
      <x:c r="A1746" s="498"/>
      <x:c r="B1746" s="498"/>
      <x:c r="C1746" s="498"/>
      <x:c r="D1746" s="498"/>
      <x:c r="E1746" s="498"/>
      <x:c r="F1746" s="498"/>
      <x:c r="G1746" s="498"/>
      <x:c r="H1746" s="498"/>
      <x:c r="I1746" s="498"/>
      <x:c r="J1746" s="498"/>
      <x:c r="K1746" s="498"/>
      <x:c r="L1746" s="498"/>
      <x:c r="M1746" s="498"/>
    </x:row>
    <x:row r="1747" ht="18" customHeight="1">
      <x:c r="A1747" s="498"/>
      <x:c r="B1747" s="498"/>
      <x:c r="C1747" s="498"/>
      <x:c r="D1747" s="498"/>
      <x:c r="E1747" s="498"/>
      <x:c r="F1747" s="498"/>
      <x:c r="G1747" s="498"/>
      <x:c r="H1747" s="498"/>
      <x:c r="I1747" s="498"/>
      <x:c r="J1747" s="498"/>
      <x:c r="K1747" s="498"/>
      <x:c r="L1747" s="498"/>
      <x:c r="M1747" s="498"/>
    </x:row>
    <x:row r="1748" ht="18" customHeight="1">
      <x:c r="A1748" s="498"/>
      <x:c r="B1748" s="498"/>
      <x:c r="C1748" s="498"/>
      <x:c r="D1748" s="498"/>
      <x:c r="E1748" s="498"/>
      <x:c r="F1748" s="498"/>
      <x:c r="G1748" s="498"/>
      <x:c r="H1748" s="498"/>
      <x:c r="I1748" s="498"/>
      <x:c r="J1748" s="498"/>
      <x:c r="K1748" s="498"/>
      <x:c r="L1748" s="498"/>
      <x:c r="M1748" s="498"/>
    </x:row>
    <x:row r="1749" ht="18" customHeight="1">
      <x:c r="A1749" s="498"/>
      <x:c r="B1749" s="498"/>
      <x:c r="C1749" s="498"/>
      <x:c r="D1749" s="498"/>
      <x:c r="E1749" s="498"/>
      <x:c r="F1749" s="498"/>
      <x:c r="G1749" s="498"/>
      <x:c r="H1749" s="498"/>
      <x:c r="I1749" s="498"/>
      <x:c r="J1749" s="498"/>
      <x:c r="K1749" s="498"/>
      <x:c r="L1749" s="498"/>
      <x:c r="M1749" s="498"/>
    </x:row>
    <x:row r="1750" ht="18" customHeight="1">
      <x:c r="A1750" s="498"/>
      <x:c r="B1750" s="498"/>
      <x:c r="C1750" s="498"/>
      <x:c r="D1750" s="498"/>
      <x:c r="E1750" s="498"/>
      <x:c r="F1750" s="498"/>
      <x:c r="G1750" s="498"/>
      <x:c r="H1750" s="498"/>
      <x:c r="I1750" s="498"/>
      <x:c r="J1750" s="498"/>
      <x:c r="K1750" s="498"/>
      <x:c r="L1750" s="498"/>
      <x:c r="M1750" s="498"/>
    </x:row>
    <x:row r="1751" ht="18" customHeight="1">
      <x:c r="A1751" s="498"/>
      <x:c r="B1751" s="498"/>
      <x:c r="C1751" s="498"/>
      <x:c r="D1751" s="498"/>
      <x:c r="E1751" s="498"/>
      <x:c r="F1751" s="498"/>
      <x:c r="G1751" s="498"/>
      <x:c r="H1751" s="498"/>
      <x:c r="I1751" s="498"/>
      <x:c r="J1751" s="498"/>
      <x:c r="K1751" s="498"/>
      <x:c r="L1751" s="498"/>
      <x:c r="M1751" s="498"/>
    </x:row>
    <x:row r="1752" ht="18" customHeight="1">
      <x:c r="A1752" s="498"/>
      <x:c r="B1752" s="498"/>
      <x:c r="C1752" s="498"/>
      <x:c r="D1752" s="498"/>
      <x:c r="E1752" s="498"/>
      <x:c r="F1752" s="498"/>
      <x:c r="G1752" s="498"/>
      <x:c r="H1752" s="498"/>
      <x:c r="I1752" s="498"/>
      <x:c r="J1752" s="498"/>
      <x:c r="K1752" s="498"/>
      <x:c r="L1752" s="498"/>
      <x:c r="M1752" s="498"/>
    </x:row>
    <x:row r="1753" ht="18" customHeight="1">
      <x:c r="A1753" s="498"/>
      <x:c r="B1753" s="498"/>
      <x:c r="C1753" s="498"/>
      <x:c r="D1753" s="498"/>
      <x:c r="E1753" s="498"/>
      <x:c r="F1753" s="498"/>
      <x:c r="G1753" s="498"/>
      <x:c r="H1753" s="498"/>
      <x:c r="I1753" s="498"/>
      <x:c r="J1753" s="498"/>
      <x:c r="K1753" s="498"/>
      <x:c r="L1753" s="498"/>
      <x:c r="M1753" s="498"/>
    </x:row>
    <x:row r="1754" ht="18" customHeight="1">
      <x:c r="A1754" s="498"/>
      <x:c r="B1754" s="498"/>
      <x:c r="C1754" s="498"/>
      <x:c r="D1754" s="498"/>
      <x:c r="E1754" s="498"/>
      <x:c r="F1754" s="498"/>
      <x:c r="G1754" s="498"/>
      <x:c r="H1754" s="498"/>
      <x:c r="I1754" s="498"/>
      <x:c r="J1754" s="498"/>
      <x:c r="K1754" s="498"/>
      <x:c r="L1754" s="498"/>
      <x:c r="M1754" s="498"/>
    </x:row>
    <x:row r="1755" ht="18" customHeight="1">
      <x:c r="A1755" s="498"/>
      <x:c r="B1755" s="498"/>
      <x:c r="C1755" s="498"/>
      <x:c r="D1755" s="498"/>
      <x:c r="E1755" s="498"/>
      <x:c r="F1755" s="498"/>
      <x:c r="G1755" s="498"/>
      <x:c r="H1755" s="498"/>
      <x:c r="I1755" s="498"/>
      <x:c r="J1755" s="498"/>
      <x:c r="K1755" s="498"/>
      <x:c r="L1755" s="498"/>
      <x:c r="M1755" s="498"/>
    </x:row>
    <x:row r="1756" ht="18" customHeight="1">
      <x:c r="A1756" s="498"/>
      <x:c r="B1756" s="498"/>
      <x:c r="C1756" s="498"/>
      <x:c r="D1756" s="498"/>
      <x:c r="E1756" s="498"/>
      <x:c r="F1756" s="498"/>
      <x:c r="G1756" s="498"/>
      <x:c r="H1756" s="498"/>
      <x:c r="I1756" s="498"/>
      <x:c r="J1756" s="498"/>
      <x:c r="K1756" s="498"/>
      <x:c r="L1756" s="498"/>
      <x:c r="M1756" s="498"/>
    </x:row>
    <x:row r="1757" ht="18" customHeight="1">
      <x:c r="A1757" s="498"/>
      <x:c r="B1757" s="498"/>
      <x:c r="C1757" s="498"/>
      <x:c r="D1757" s="498"/>
      <x:c r="E1757" s="498"/>
      <x:c r="F1757" s="498"/>
      <x:c r="G1757" s="498"/>
      <x:c r="H1757" s="498"/>
      <x:c r="I1757" s="498"/>
      <x:c r="J1757" s="498"/>
      <x:c r="K1757" s="498"/>
      <x:c r="L1757" s="498"/>
      <x:c r="M1757" s="498"/>
    </x:row>
    <x:row r="1758" ht="18" customHeight="1">
      <x:c r="A1758" s="498"/>
      <x:c r="B1758" s="498"/>
      <x:c r="C1758" s="498"/>
      <x:c r="D1758" s="498"/>
      <x:c r="E1758" s="498"/>
      <x:c r="F1758" s="498"/>
      <x:c r="G1758" s="498"/>
      <x:c r="H1758" s="498"/>
      <x:c r="I1758" s="498"/>
      <x:c r="J1758" s="498"/>
      <x:c r="K1758" s="498"/>
      <x:c r="L1758" s="498"/>
      <x:c r="M1758" s="498"/>
    </x:row>
    <x:row r="1759" ht="18" customHeight="1">
      <x:c r="A1759" s="498"/>
      <x:c r="B1759" s="498"/>
      <x:c r="C1759" s="498"/>
      <x:c r="D1759" s="498"/>
      <x:c r="E1759" s="498"/>
      <x:c r="F1759" s="498"/>
      <x:c r="G1759" s="498"/>
      <x:c r="H1759" s="498"/>
      <x:c r="I1759" s="498"/>
      <x:c r="J1759" s="498"/>
      <x:c r="K1759" s="498"/>
      <x:c r="L1759" s="498"/>
      <x:c r="M1759" s="498"/>
    </x:row>
    <x:row r="1760" ht="18" customHeight="1">
      <x:c r="A1760" s="498"/>
      <x:c r="B1760" s="498"/>
      <x:c r="C1760" s="498"/>
      <x:c r="D1760" s="498"/>
      <x:c r="E1760" s="498"/>
      <x:c r="F1760" s="498"/>
      <x:c r="G1760" s="498"/>
      <x:c r="H1760" s="498"/>
      <x:c r="I1760" s="498"/>
      <x:c r="J1760" s="498"/>
      <x:c r="K1760" s="498"/>
      <x:c r="L1760" s="498"/>
      <x:c r="M1760" s="498"/>
    </x:row>
    <x:row r="1761" ht="18" customHeight="1">
      <x:c r="A1761" s="498"/>
      <x:c r="B1761" s="498"/>
      <x:c r="C1761" s="498"/>
      <x:c r="D1761" s="498"/>
      <x:c r="E1761" s="498"/>
      <x:c r="F1761" s="498"/>
      <x:c r="G1761" s="498"/>
      <x:c r="H1761" s="498"/>
      <x:c r="I1761" s="498"/>
      <x:c r="J1761" s="498"/>
      <x:c r="K1761" s="498"/>
      <x:c r="L1761" s="498"/>
      <x:c r="M1761" s="498"/>
    </x:row>
    <x:row r="1762" ht="18" customHeight="1">
      <x:c r="A1762" s="498"/>
      <x:c r="B1762" s="498"/>
      <x:c r="C1762" s="498"/>
      <x:c r="D1762" s="498"/>
      <x:c r="E1762" s="498"/>
      <x:c r="F1762" s="498"/>
      <x:c r="G1762" s="498"/>
      <x:c r="H1762" s="498"/>
      <x:c r="I1762" s="498"/>
      <x:c r="J1762" s="498"/>
      <x:c r="K1762" s="498"/>
      <x:c r="L1762" s="498"/>
      <x:c r="M1762" s="498"/>
    </x:row>
    <x:row r="1763" ht="18" customHeight="1">
      <x:c r="A1763" s="498"/>
      <x:c r="B1763" s="498"/>
      <x:c r="C1763" s="498"/>
      <x:c r="D1763" s="498"/>
      <x:c r="E1763" s="498"/>
      <x:c r="F1763" s="498"/>
      <x:c r="G1763" s="498"/>
      <x:c r="H1763" s="498"/>
      <x:c r="I1763" s="498"/>
      <x:c r="J1763" s="498"/>
      <x:c r="K1763" s="498"/>
      <x:c r="L1763" s="498"/>
      <x:c r="M1763" s="498"/>
    </x:row>
    <x:row r="1764" ht="18" customHeight="1">
      <x:c r="A1764" s="498"/>
      <x:c r="B1764" s="498"/>
      <x:c r="C1764" s="498"/>
      <x:c r="D1764" s="498"/>
      <x:c r="E1764" s="498"/>
      <x:c r="F1764" s="498"/>
      <x:c r="G1764" s="498"/>
      <x:c r="H1764" s="498"/>
      <x:c r="I1764" s="498"/>
      <x:c r="J1764" s="498"/>
      <x:c r="K1764" s="498"/>
      <x:c r="L1764" s="498"/>
      <x:c r="M1764" s="498"/>
    </x:row>
    <x:row r="1765" ht="18" customHeight="1">
      <x:c r="A1765" s="498"/>
      <x:c r="B1765" s="498"/>
      <x:c r="C1765" s="498"/>
      <x:c r="D1765" s="498"/>
      <x:c r="E1765" s="498"/>
      <x:c r="F1765" s="498"/>
      <x:c r="G1765" s="498"/>
      <x:c r="H1765" s="498"/>
      <x:c r="I1765" s="498"/>
      <x:c r="J1765" s="498"/>
      <x:c r="K1765" s="498"/>
      <x:c r="L1765" s="498"/>
      <x:c r="M1765" s="498"/>
    </x:row>
    <x:row r="1766" ht="18" customHeight="1">
      <x:c r="A1766" s="498"/>
      <x:c r="B1766" s="498"/>
      <x:c r="C1766" s="498"/>
      <x:c r="D1766" s="498"/>
      <x:c r="E1766" s="498"/>
      <x:c r="F1766" s="498"/>
      <x:c r="G1766" s="498"/>
      <x:c r="H1766" s="498"/>
      <x:c r="I1766" s="498"/>
      <x:c r="J1766" s="498"/>
      <x:c r="K1766" s="498"/>
      <x:c r="L1766" s="498"/>
      <x:c r="M1766" s="498"/>
    </x:row>
    <x:row r="1767" ht="18" customHeight="1">
      <x:c r="A1767" s="498"/>
      <x:c r="B1767" s="498"/>
      <x:c r="C1767" s="498"/>
      <x:c r="D1767" s="498"/>
      <x:c r="E1767" s="498"/>
      <x:c r="F1767" s="498"/>
      <x:c r="G1767" s="498"/>
      <x:c r="H1767" s="498"/>
      <x:c r="I1767" s="498"/>
      <x:c r="J1767" s="498"/>
      <x:c r="K1767" s="498"/>
      <x:c r="L1767" s="498"/>
      <x:c r="M1767" s="498"/>
    </x:row>
    <x:row r="1768" ht="18" customHeight="1">
      <x:c r="A1768" s="498"/>
      <x:c r="B1768" s="498"/>
      <x:c r="C1768" s="498"/>
      <x:c r="D1768" s="498"/>
      <x:c r="E1768" s="498"/>
      <x:c r="F1768" s="498"/>
      <x:c r="G1768" s="498"/>
      <x:c r="H1768" s="498"/>
      <x:c r="I1768" s="498"/>
      <x:c r="J1768" s="498"/>
      <x:c r="K1768" s="498"/>
      <x:c r="L1768" s="498"/>
      <x:c r="M1768" s="498"/>
    </x:row>
    <x:row r="1769" ht="18" customHeight="1">
      <x:c r="A1769" s="498"/>
      <x:c r="B1769" s="498"/>
      <x:c r="C1769" s="498"/>
      <x:c r="D1769" s="498"/>
      <x:c r="E1769" s="498"/>
      <x:c r="F1769" s="498"/>
      <x:c r="G1769" s="498"/>
      <x:c r="H1769" s="498"/>
      <x:c r="I1769" s="498"/>
      <x:c r="J1769" s="498"/>
      <x:c r="K1769" s="498"/>
      <x:c r="L1769" s="498"/>
      <x:c r="M1769" s="498"/>
    </x:row>
    <x:row r="1770" ht="18" customHeight="1">
      <x:c r="A1770" s="498"/>
      <x:c r="B1770" s="498"/>
      <x:c r="C1770" s="498"/>
      <x:c r="D1770" s="498"/>
      <x:c r="E1770" s="498"/>
      <x:c r="F1770" s="498"/>
      <x:c r="G1770" s="498"/>
      <x:c r="H1770" s="498"/>
      <x:c r="I1770" s="498"/>
      <x:c r="J1770" s="498"/>
      <x:c r="K1770" s="498"/>
      <x:c r="L1770" s="498"/>
      <x:c r="M1770" s="498"/>
    </x:row>
    <x:row r="1771" ht="18" customHeight="1">
      <x:c r="A1771" s="498"/>
      <x:c r="B1771" s="498"/>
      <x:c r="C1771" s="498"/>
      <x:c r="D1771" s="498"/>
      <x:c r="E1771" s="498"/>
      <x:c r="F1771" s="498"/>
      <x:c r="G1771" s="498"/>
      <x:c r="H1771" s="498"/>
      <x:c r="I1771" s="498"/>
      <x:c r="J1771" s="498"/>
      <x:c r="K1771" s="498"/>
      <x:c r="L1771" s="498"/>
      <x:c r="M1771" s="498"/>
    </x:row>
    <x:row r="1772" ht="18" customHeight="1">
      <x:c r="A1772" s="498"/>
      <x:c r="B1772" s="498"/>
      <x:c r="C1772" s="498"/>
      <x:c r="D1772" s="498"/>
      <x:c r="E1772" s="498"/>
      <x:c r="F1772" s="498"/>
      <x:c r="G1772" s="498"/>
      <x:c r="H1772" s="498"/>
      <x:c r="I1772" s="498"/>
      <x:c r="J1772" s="498"/>
      <x:c r="K1772" s="498"/>
      <x:c r="L1772" s="498"/>
      <x:c r="M1772" s="498"/>
    </x:row>
    <x:row r="1773" ht="18" customHeight="1">
      <x:c r="A1773" s="498"/>
      <x:c r="B1773" s="498"/>
      <x:c r="C1773" s="498"/>
      <x:c r="D1773" s="498"/>
      <x:c r="E1773" s="498"/>
      <x:c r="F1773" s="498"/>
      <x:c r="G1773" s="498"/>
      <x:c r="H1773" s="498"/>
      <x:c r="I1773" s="498"/>
      <x:c r="J1773" s="498"/>
      <x:c r="K1773" s="498"/>
      <x:c r="L1773" s="498"/>
      <x:c r="M1773" s="498"/>
    </x:row>
    <x:row r="1774" ht="18" customHeight="1">
      <x:c r="A1774" s="498"/>
      <x:c r="B1774" s="498"/>
      <x:c r="C1774" s="498"/>
      <x:c r="D1774" s="498"/>
      <x:c r="E1774" s="498"/>
      <x:c r="F1774" s="498"/>
      <x:c r="G1774" s="498"/>
      <x:c r="H1774" s="498"/>
      <x:c r="I1774" s="498"/>
      <x:c r="J1774" s="498"/>
      <x:c r="K1774" s="498"/>
      <x:c r="L1774" s="498"/>
      <x:c r="M1774" s="498"/>
    </x:row>
    <x:row r="1775" ht="18" customHeight="1">
      <x:c r="A1775" s="498"/>
      <x:c r="B1775" s="498"/>
      <x:c r="C1775" s="498"/>
      <x:c r="D1775" s="498"/>
      <x:c r="E1775" s="498"/>
      <x:c r="F1775" s="498"/>
      <x:c r="G1775" s="498"/>
      <x:c r="H1775" s="498"/>
      <x:c r="I1775" s="498"/>
      <x:c r="J1775" s="498"/>
      <x:c r="K1775" s="498"/>
      <x:c r="L1775" s="498"/>
      <x:c r="M1775" s="498"/>
    </x:row>
    <x:row r="1776" ht="18" customHeight="1">
      <x:c r="A1776" s="498"/>
      <x:c r="B1776" s="498"/>
      <x:c r="C1776" s="498"/>
      <x:c r="D1776" s="498"/>
      <x:c r="E1776" s="498"/>
      <x:c r="F1776" s="498"/>
      <x:c r="G1776" s="498"/>
      <x:c r="H1776" s="498"/>
      <x:c r="I1776" s="498"/>
      <x:c r="J1776" s="498"/>
      <x:c r="K1776" s="498"/>
      <x:c r="L1776" s="498"/>
      <x:c r="M1776" s="498"/>
    </x:row>
    <x:row r="1777" ht="18" customHeight="1">
      <x:c r="A1777" s="498"/>
      <x:c r="B1777" s="498"/>
      <x:c r="C1777" s="498"/>
      <x:c r="D1777" s="498"/>
      <x:c r="E1777" s="498"/>
      <x:c r="F1777" s="498"/>
      <x:c r="G1777" s="498"/>
      <x:c r="H1777" s="498"/>
      <x:c r="I1777" s="498"/>
      <x:c r="J1777" s="498"/>
      <x:c r="K1777" s="498"/>
      <x:c r="L1777" s="498"/>
      <x:c r="M1777" s="498"/>
    </x:row>
    <x:row r="1778" ht="18" customHeight="1">
      <x:c r="A1778" s="498"/>
      <x:c r="B1778" s="498"/>
      <x:c r="C1778" s="498"/>
      <x:c r="D1778" s="498"/>
      <x:c r="E1778" s="498"/>
      <x:c r="F1778" s="498"/>
      <x:c r="G1778" s="498"/>
      <x:c r="H1778" s="498"/>
      <x:c r="I1778" s="498"/>
      <x:c r="J1778" s="498"/>
      <x:c r="K1778" s="498"/>
      <x:c r="L1778" s="498"/>
      <x:c r="M1778" s="498"/>
    </x:row>
    <x:row r="1779" ht="18" customHeight="1">
      <x:c r="A1779" s="498"/>
      <x:c r="B1779" s="498"/>
      <x:c r="C1779" s="498"/>
      <x:c r="D1779" s="498"/>
      <x:c r="E1779" s="498"/>
      <x:c r="F1779" s="498"/>
      <x:c r="G1779" s="498"/>
      <x:c r="H1779" s="498"/>
      <x:c r="I1779" s="498"/>
      <x:c r="J1779" s="498"/>
      <x:c r="K1779" s="498"/>
      <x:c r="L1779" s="498"/>
      <x:c r="M1779" s="498"/>
    </x:row>
    <x:row r="1780" ht="18" customHeight="1">
      <x:c r="A1780" s="498"/>
      <x:c r="B1780" s="498"/>
      <x:c r="C1780" s="498"/>
      <x:c r="D1780" s="498"/>
      <x:c r="E1780" s="498"/>
      <x:c r="F1780" s="498"/>
      <x:c r="G1780" s="498"/>
      <x:c r="H1780" s="498"/>
      <x:c r="I1780" s="498"/>
      <x:c r="J1780" s="498"/>
      <x:c r="K1780" s="498"/>
      <x:c r="L1780" s="498"/>
      <x:c r="M1780" s="498"/>
    </x:row>
    <x:row r="1781" ht="18" customHeight="1">
      <x:c r="A1781" s="498"/>
      <x:c r="B1781" s="498"/>
      <x:c r="C1781" s="498"/>
      <x:c r="D1781" s="498"/>
      <x:c r="E1781" s="498"/>
      <x:c r="F1781" s="498"/>
      <x:c r="G1781" s="498"/>
      <x:c r="H1781" s="498"/>
      <x:c r="I1781" s="498"/>
      <x:c r="J1781" s="498"/>
      <x:c r="K1781" s="498"/>
      <x:c r="L1781" s="498"/>
      <x:c r="M1781" s="498"/>
    </x:row>
    <x:row r="1782" ht="18" customHeight="1">
      <x:c r="A1782" s="498"/>
      <x:c r="B1782" s="498"/>
      <x:c r="C1782" s="498"/>
      <x:c r="D1782" s="498"/>
      <x:c r="E1782" s="498"/>
      <x:c r="F1782" s="498"/>
      <x:c r="G1782" s="498"/>
      <x:c r="H1782" s="498"/>
      <x:c r="I1782" s="498"/>
      <x:c r="J1782" s="498"/>
      <x:c r="K1782" s="498"/>
      <x:c r="L1782" s="498"/>
      <x:c r="M1782" s="498"/>
    </x:row>
    <x:row r="1783" ht="18" customHeight="1">
      <x:c r="A1783" s="498"/>
      <x:c r="B1783" s="498"/>
      <x:c r="C1783" s="498"/>
      <x:c r="D1783" s="498"/>
      <x:c r="E1783" s="498"/>
      <x:c r="F1783" s="498"/>
      <x:c r="G1783" s="498"/>
      <x:c r="H1783" s="498"/>
      <x:c r="I1783" s="498"/>
      <x:c r="J1783" s="498"/>
      <x:c r="K1783" s="498"/>
      <x:c r="L1783" s="498"/>
      <x:c r="M1783" s="498"/>
    </x:row>
    <x:row r="1784" ht="18" customHeight="1">
      <x:c r="A1784" s="498"/>
      <x:c r="B1784" s="498"/>
      <x:c r="C1784" s="498"/>
      <x:c r="D1784" s="498"/>
      <x:c r="E1784" s="498"/>
      <x:c r="F1784" s="498"/>
      <x:c r="G1784" s="498"/>
      <x:c r="H1784" s="498"/>
      <x:c r="I1784" s="498"/>
      <x:c r="J1784" s="498"/>
      <x:c r="K1784" s="498"/>
      <x:c r="L1784" s="498"/>
      <x:c r="M1784" s="498"/>
    </x:row>
    <x:row r="1785" ht="18" customHeight="1">
      <x:c r="A1785" s="498"/>
      <x:c r="B1785" s="498"/>
      <x:c r="C1785" s="498"/>
      <x:c r="D1785" s="498"/>
      <x:c r="E1785" s="498"/>
      <x:c r="F1785" s="498"/>
      <x:c r="G1785" s="498"/>
      <x:c r="H1785" s="498"/>
      <x:c r="I1785" s="498"/>
      <x:c r="J1785" s="498"/>
      <x:c r="K1785" s="498"/>
      <x:c r="L1785" s="498"/>
      <x:c r="M1785" s="498"/>
    </x:row>
    <x:row r="1786" ht="18" customHeight="1">
      <x:c r="A1786" s="498"/>
      <x:c r="B1786" s="498"/>
      <x:c r="C1786" s="498"/>
      <x:c r="D1786" s="498"/>
      <x:c r="E1786" s="498"/>
      <x:c r="F1786" s="498"/>
      <x:c r="G1786" s="498"/>
      <x:c r="H1786" s="498"/>
      <x:c r="I1786" s="498"/>
      <x:c r="J1786" s="498"/>
      <x:c r="K1786" s="498"/>
      <x:c r="L1786" s="498"/>
      <x:c r="M1786" s="498"/>
    </x:row>
    <x:row r="1787" ht="18" customHeight="1">
      <x:c r="A1787" s="498"/>
      <x:c r="B1787" s="498"/>
      <x:c r="C1787" s="498"/>
      <x:c r="D1787" s="498"/>
      <x:c r="E1787" s="498"/>
      <x:c r="F1787" s="498"/>
      <x:c r="G1787" s="498"/>
      <x:c r="H1787" s="498"/>
      <x:c r="I1787" s="498"/>
      <x:c r="J1787" s="498"/>
      <x:c r="K1787" s="498"/>
      <x:c r="L1787" s="498"/>
      <x:c r="M1787" s="498"/>
    </x:row>
    <x:row r="1788" ht="18" customHeight="1">
      <x:c r="A1788" s="498"/>
      <x:c r="B1788" s="498"/>
      <x:c r="C1788" s="498"/>
      <x:c r="D1788" s="498"/>
      <x:c r="E1788" s="498"/>
      <x:c r="F1788" s="498"/>
      <x:c r="G1788" s="498"/>
      <x:c r="H1788" s="498"/>
      <x:c r="I1788" s="498"/>
      <x:c r="J1788" s="498"/>
      <x:c r="K1788" s="498"/>
      <x:c r="L1788" s="498"/>
      <x:c r="M1788" s="498"/>
    </x:row>
    <x:row r="1789" ht="18" customHeight="1">
      <x:c r="A1789" s="498"/>
      <x:c r="B1789" s="498"/>
      <x:c r="C1789" s="498"/>
      <x:c r="D1789" s="498"/>
      <x:c r="E1789" s="498"/>
      <x:c r="F1789" s="498"/>
      <x:c r="G1789" s="498"/>
      <x:c r="H1789" s="498"/>
      <x:c r="I1789" s="498"/>
      <x:c r="J1789" s="498"/>
      <x:c r="K1789" s="498"/>
      <x:c r="L1789" s="498"/>
      <x:c r="M1789" s="498"/>
    </x:row>
    <x:row r="1790" ht="18" customHeight="1">
      <x:c r="A1790" s="498"/>
      <x:c r="B1790" s="498"/>
      <x:c r="C1790" s="498"/>
      <x:c r="D1790" s="498"/>
      <x:c r="E1790" s="498"/>
      <x:c r="F1790" s="498"/>
      <x:c r="G1790" s="498"/>
      <x:c r="H1790" s="498"/>
      <x:c r="I1790" s="498"/>
      <x:c r="J1790" s="498"/>
      <x:c r="K1790" s="498"/>
      <x:c r="L1790" s="498"/>
      <x:c r="M1790" s="498"/>
    </x:row>
    <x:row r="1791" ht="18" customHeight="1">
      <x:c r="A1791" s="498"/>
      <x:c r="B1791" s="498"/>
      <x:c r="C1791" s="498"/>
      <x:c r="D1791" s="498"/>
      <x:c r="E1791" s="498"/>
      <x:c r="F1791" s="498"/>
      <x:c r="G1791" s="498"/>
      <x:c r="H1791" s="498"/>
      <x:c r="I1791" s="498"/>
      <x:c r="J1791" s="498"/>
      <x:c r="K1791" s="498"/>
      <x:c r="L1791" s="498"/>
      <x:c r="M1791" s="498"/>
    </x:row>
    <x:row r="1792" ht="18" customHeight="1">
      <x:c r="A1792" s="498"/>
      <x:c r="B1792" s="498"/>
      <x:c r="C1792" s="498"/>
      <x:c r="D1792" s="498"/>
      <x:c r="E1792" s="498"/>
      <x:c r="F1792" s="498"/>
      <x:c r="G1792" s="498"/>
      <x:c r="H1792" s="498"/>
      <x:c r="I1792" s="498"/>
      <x:c r="J1792" s="498"/>
      <x:c r="K1792" s="498"/>
      <x:c r="L1792" s="498"/>
      <x:c r="M1792" s="498"/>
    </x:row>
    <x:row r="1793" ht="18" customHeight="1">
      <x:c r="A1793" s="498"/>
      <x:c r="B1793" s="498"/>
      <x:c r="C1793" s="498"/>
      <x:c r="D1793" s="498"/>
      <x:c r="E1793" s="498"/>
      <x:c r="F1793" s="498"/>
      <x:c r="G1793" s="498"/>
      <x:c r="H1793" s="498"/>
      <x:c r="I1793" s="498"/>
      <x:c r="J1793" s="498"/>
      <x:c r="K1793" s="498"/>
      <x:c r="L1793" s="498"/>
      <x:c r="M1793" s="498"/>
    </x:row>
    <x:row r="1794" ht="18" customHeight="1">
      <x:c r="A1794" s="498"/>
      <x:c r="B1794" s="498"/>
      <x:c r="C1794" s="498"/>
      <x:c r="D1794" s="498"/>
      <x:c r="E1794" s="498"/>
      <x:c r="F1794" s="498"/>
      <x:c r="G1794" s="498"/>
      <x:c r="H1794" s="498"/>
      <x:c r="I1794" s="498"/>
      <x:c r="J1794" s="498"/>
      <x:c r="K1794" s="498"/>
      <x:c r="L1794" s="498"/>
      <x:c r="M1794" s="498"/>
    </x:row>
    <x:row r="1795" ht="18" customHeight="1">
      <x:c r="A1795" s="498"/>
      <x:c r="B1795" s="498"/>
      <x:c r="C1795" s="498"/>
      <x:c r="D1795" s="498"/>
      <x:c r="E1795" s="498"/>
      <x:c r="F1795" s="498"/>
      <x:c r="G1795" s="498"/>
      <x:c r="H1795" s="498"/>
      <x:c r="I1795" s="498"/>
      <x:c r="J1795" s="498"/>
      <x:c r="K1795" s="498"/>
      <x:c r="L1795" s="498"/>
      <x:c r="M1795" s="498"/>
    </x:row>
    <x:row r="1796" ht="18" customHeight="1">
      <x:c r="A1796" s="498"/>
      <x:c r="B1796" s="498"/>
      <x:c r="C1796" s="498"/>
      <x:c r="D1796" s="498"/>
      <x:c r="E1796" s="498"/>
      <x:c r="F1796" s="498"/>
      <x:c r="G1796" s="498"/>
      <x:c r="H1796" s="498"/>
      <x:c r="I1796" s="498"/>
      <x:c r="J1796" s="498"/>
      <x:c r="K1796" s="498"/>
      <x:c r="L1796" s="498"/>
      <x:c r="M1796" s="498"/>
    </x:row>
    <x:row r="1797" ht="18" customHeight="1">
      <x:c r="A1797" s="498"/>
      <x:c r="B1797" s="498"/>
      <x:c r="C1797" s="498"/>
      <x:c r="D1797" s="498"/>
      <x:c r="E1797" s="498"/>
      <x:c r="F1797" s="498"/>
      <x:c r="G1797" s="498"/>
      <x:c r="H1797" s="498"/>
      <x:c r="I1797" s="498"/>
      <x:c r="J1797" s="498"/>
      <x:c r="K1797" s="498"/>
      <x:c r="L1797" s="498"/>
      <x:c r="M1797" s="498"/>
    </x:row>
    <x:row r="1798" ht="18" customHeight="1">
      <x:c r="A1798" s="498"/>
      <x:c r="B1798" s="498"/>
      <x:c r="C1798" s="498"/>
      <x:c r="D1798" s="498"/>
      <x:c r="E1798" s="498"/>
      <x:c r="F1798" s="498"/>
      <x:c r="G1798" s="498"/>
      <x:c r="H1798" s="498"/>
      <x:c r="I1798" s="498"/>
      <x:c r="J1798" s="498"/>
      <x:c r="K1798" s="498"/>
      <x:c r="L1798" s="498"/>
      <x:c r="M1798" s="498"/>
    </x:row>
    <x:row r="1799" ht="18" customHeight="1">
      <x:c r="A1799" s="498"/>
      <x:c r="B1799" s="498"/>
      <x:c r="C1799" s="498"/>
      <x:c r="D1799" s="498"/>
      <x:c r="E1799" s="498"/>
      <x:c r="F1799" s="498"/>
      <x:c r="G1799" s="498"/>
      <x:c r="H1799" s="498"/>
      <x:c r="I1799" s="498"/>
      <x:c r="J1799" s="498"/>
      <x:c r="K1799" s="498"/>
      <x:c r="L1799" s="498"/>
      <x:c r="M1799" s="498"/>
    </x:row>
    <x:row r="1800" ht="18" customHeight="1">
      <x:c r="A1800" s="498"/>
      <x:c r="B1800" s="498"/>
      <x:c r="C1800" s="498"/>
      <x:c r="D1800" s="498"/>
      <x:c r="E1800" s="498"/>
      <x:c r="F1800" s="498"/>
      <x:c r="G1800" s="498"/>
      <x:c r="H1800" s="498"/>
      <x:c r="I1800" s="498"/>
      <x:c r="J1800" s="498"/>
      <x:c r="K1800" s="498"/>
      <x:c r="L1800" s="498"/>
      <x:c r="M1800" s="498"/>
    </x:row>
    <x:row r="1801" ht="18" customHeight="1">
      <x:c r="A1801" s="498"/>
      <x:c r="B1801" s="498"/>
      <x:c r="C1801" s="498"/>
      <x:c r="D1801" s="498"/>
      <x:c r="E1801" s="498"/>
      <x:c r="F1801" s="498"/>
      <x:c r="G1801" s="498"/>
      <x:c r="H1801" s="498"/>
      <x:c r="I1801" s="498"/>
      <x:c r="J1801" s="498"/>
      <x:c r="K1801" s="498"/>
      <x:c r="L1801" s="498"/>
      <x:c r="M1801" s="498"/>
    </x:row>
    <x:row r="1802" ht="18" customHeight="1">
      <x:c r="A1802" s="498"/>
      <x:c r="B1802" s="498"/>
      <x:c r="C1802" s="498"/>
      <x:c r="D1802" s="498"/>
      <x:c r="E1802" s="498"/>
      <x:c r="F1802" s="498"/>
      <x:c r="G1802" s="498"/>
      <x:c r="H1802" s="498"/>
      <x:c r="I1802" s="498"/>
      <x:c r="J1802" s="498"/>
      <x:c r="K1802" s="498"/>
      <x:c r="L1802" s="498"/>
      <x:c r="M1802" s="498"/>
    </x:row>
    <x:row r="1803" ht="18" customHeight="1">
      <x:c r="A1803" s="498"/>
      <x:c r="B1803" s="498"/>
      <x:c r="C1803" s="498"/>
      <x:c r="D1803" s="498"/>
      <x:c r="E1803" s="498"/>
      <x:c r="F1803" s="498"/>
      <x:c r="G1803" s="498"/>
      <x:c r="H1803" s="498"/>
      <x:c r="I1803" s="498"/>
      <x:c r="J1803" s="498"/>
      <x:c r="K1803" s="498"/>
      <x:c r="L1803" s="498"/>
      <x:c r="M1803" s="498"/>
    </x:row>
    <x:row r="1804" ht="18" customHeight="1">
      <x:c r="A1804" s="498"/>
      <x:c r="B1804" s="498"/>
      <x:c r="C1804" s="498"/>
      <x:c r="D1804" s="498"/>
      <x:c r="E1804" s="498"/>
      <x:c r="F1804" s="498"/>
      <x:c r="G1804" s="498"/>
      <x:c r="H1804" s="498"/>
      <x:c r="I1804" s="498"/>
      <x:c r="J1804" s="498"/>
      <x:c r="K1804" s="498"/>
      <x:c r="L1804" s="498"/>
      <x:c r="M1804" s="498"/>
    </x:row>
    <x:row r="1805" ht="18" customHeight="1">
      <x:c r="A1805" s="498"/>
      <x:c r="B1805" s="498"/>
      <x:c r="C1805" s="498"/>
      <x:c r="D1805" s="498"/>
      <x:c r="E1805" s="498"/>
      <x:c r="F1805" s="498"/>
      <x:c r="G1805" s="498"/>
      <x:c r="H1805" s="498"/>
      <x:c r="I1805" s="498"/>
      <x:c r="J1805" s="498"/>
      <x:c r="K1805" s="498"/>
      <x:c r="L1805" s="498"/>
      <x:c r="M1805" s="498"/>
    </x:row>
    <x:row r="1806" ht="18" customHeight="1">
      <x:c r="A1806" s="498"/>
      <x:c r="B1806" s="498"/>
      <x:c r="C1806" s="498"/>
      <x:c r="D1806" s="498"/>
      <x:c r="E1806" s="498"/>
      <x:c r="F1806" s="498"/>
      <x:c r="G1806" s="498"/>
      <x:c r="H1806" s="498"/>
      <x:c r="I1806" s="498"/>
      <x:c r="J1806" s="498"/>
      <x:c r="K1806" s="498"/>
      <x:c r="L1806" s="498"/>
      <x:c r="M1806" s="498"/>
    </x:row>
    <x:row r="1807" ht="18" customHeight="1">
      <x:c r="A1807" s="498"/>
      <x:c r="B1807" s="498"/>
      <x:c r="C1807" s="498"/>
      <x:c r="D1807" s="498"/>
      <x:c r="E1807" s="498"/>
      <x:c r="F1807" s="498"/>
      <x:c r="G1807" s="498"/>
      <x:c r="H1807" s="498"/>
      <x:c r="I1807" s="498"/>
      <x:c r="J1807" s="498"/>
      <x:c r="K1807" s="498"/>
      <x:c r="L1807" s="498"/>
      <x:c r="M1807" s="498"/>
    </x:row>
    <x:row r="1808" ht="18" customHeight="1">
      <x:c r="A1808" s="498"/>
      <x:c r="B1808" s="498"/>
      <x:c r="C1808" s="498"/>
      <x:c r="D1808" s="498"/>
      <x:c r="E1808" s="498"/>
      <x:c r="F1808" s="498"/>
      <x:c r="G1808" s="498"/>
      <x:c r="H1808" s="498"/>
      <x:c r="I1808" s="498"/>
      <x:c r="J1808" s="498"/>
      <x:c r="K1808" s="498"/>
      <x:c r="L1808" s="498"/>
      <x:c r="M1808" s="498"/>
    </x:row>
    <x:row r="1809" ht="18" customHeight="1">
      <x:c r="A1809" s="498"/>
      <x:c r="B1809" s="498"/>
      <x:c r="C1809" s="498"/>
      <x:c r="D1809" s="498"/>
      <x:c r="E1809" s="498"/>
      <x:c r="F1809" s="498"/>
      <x:c r="G1809" s="498"/>
      <x:c r="H1809" s="498"/>
      <x:c r="I1809" s="498"/>
      <x:c r="J1809" s="498"/>
      <x:c r="K1809" s="498"/>
      <x:c r="L1809" s="498"/>
      <x:c r="M1809" s="498"/>
    </x:row>
    <x:row r="1810" ht="18" customHeight="1">
      <x:c r="A1810" s="498"/>
      <x:c r="B1810" s="498"/>
      <x:c r="C1810" s="498"/>
      <x:c r="D1810" s="498"/>
      <x:c r="E1810" s="498"/>
      <x:c r="F1810" s="498"/>
      <x:c r="G1810" s="498"/>
      <x:c r="H1810" s="498"/>
      <x:c r="I1810" s="498"/>
      <x:c r="J1810" s="498"/>
      <x:c r="K1810" s="498"/>
      <x:c r="L1810" s="498"/>
      <x:c r="M1810" s="498"/>
    </x:row>
    <x:row r="1811" ht="18" customHeight="1">
      <x:c r="A1811" s="498"/>
      <x:c r="B1811" s="498"/>
      <x:c r="C1811" s="498"/>
      <x:c r="D1811" s="498"/>
      <x:c r="E1811" s="498"/>
      <x:c r="F1811" s="498"/>
      <x:c r="G1811" s="498"/>
      <x:c r="H1811" s="498"/>
      <x:c r="I1811" s="498"/>
      <x:c r="J1811" s="498"/>
      <x:c r="K1811" s="498"/>
      <x:c r="L1811" s="498"/>
      <x:c r="M1811" s="498"/>
    </x:row>
    <x:row r="1812" ht="18" customHeight="1">
      <x:c r="A1812" s="498"/>
      <x:c r="B1812" s="498"/>
      <x:c r="C1812" s="498"/>
      <x:c r="D1812" s="498"/>
      <x:c r="E1812" s="498"/>
      <x:c r="F1812" s="498"/>
      <x:c r="G1812" s="498"/>
      <x:c r="H1812" s="498"/>
      <x:c r="I1812" s="498"/>
      <x:c r="J1812" s="498"/>
      <x:c r="K1812" s="498"/>
      <x:c r="L1812" s="498"/>
      <x:c r="M1812" s="498"/>
    </x:row>
    <x:row r="1813" ht="18" customHeight="1">
      <x:c r="A1813" s="498"/>
      <x:c r="B1813" s="498"/>
      <x:c r="C1813" s="498"/>
      <x:c r="D1813" s="498"/>
      <x:c r="E1813" s="498"/>
      <x:c r="F1813" s="498"/>
      <x:c r="G1813" s="498"/>
      <x:c r="H1813" s="498"/>
      <x:c r="I1813" s="498"/>
      <x:c r="J1813" s="498"/>
      <x:c r="K1813" s="498"/>
      <x:c r="L1813" s="498"/>
      <x:c r="M1813" s="498"/>
    </x:row>
    <x:row r="1814" ht="18" customHeight="1">
      <x:c r="A1814" s="498"/>
      <x:c r="B1814" s="498"/>
      <x:c r="C1814" s="498"/>
      <x:c r="D1814" s="498"/>
      <x:c r="E1814" s="498"/>
      <x:c r="F1814" s="498"/>
      <x:c r="G1814" s="498"/>
      <x:c r="H1814" s="498"/>
      <x:c r="I1814" s="498"/>
      <x:c r="J1814" s="498"/>
      <x:c r="K1814" s="498"/>
      <x:c r="L1814" s="498"/>
      <x:c r="M1814" s="498"/>
    </x:row>
    <x:row r="1815" ht="18" customHeight="1">
      <x:c r="A1815" s="498"/>
      <x:c r="B1815" s="498"/>
      <x:c r="C1815" s="498"/>
      <x:c r="D1815" s="498"/>
      <x:c r="E1815" s="498"/>
      <x:c r="F1815" s="498"/>
      <x:c r="G1815" s="498"/>
      <x:c r="H1815" s="498"/>
      <x:c r="I1815" s="498"/>
      <x:c r="J1815" s="498"/>
      <x:c r="K1815" s="498"/>
      <x:c r="L1815" s="498"/>
      <x:c r="M1815" s="498"/>
    </x:row>
    <x:row r="1816" ht="18" customHeight="1">
      <x:c r="A1816" s="498"/>
      <x:c r="B1816" s="498"/>
      <x:c r="C1816" s="498"/>
      <x:c r="D1816" s="498"/>
      <x:c r="E1816" s="498"/>
      <x:c r="F1816" s="498"/>
      <x:c r="G1816" s="498"/>
      <x:c r="H1816" s="498"/>
      <x:c r="I1816" s="498"/>
      <x:c r="J1816" s="498"/>
      <x:c r="K1816" s="498"/>
      <x:c r="L1816" s="498"/>
      <x:c r="M1816" s="498"/>
    </x:row>
    <x:row r="1817" ht="18" customHeight="1">
      <x:c r="A1817" s="498"/>
      <x:c r="B1817" s="498"/>
      <x:c r="C1817" s="498"/>
      <x:c r="D1817" s="498"/>
      <x:c r="E1817" s="498"/>
      <x:c r="F1817" s="498"/>
      <x:c r="G1817" s="498"/>
      <x:c r="H1817" s="498"/>
      <x:c r="I1817" s="498"/>
      <x:c r="J1817" s="498"/>
      <x:c r="K1817" s="498"/>
      <x:c r="L1817" s="498"/>
      <x:c r="M1817" s="498"/>
    </x:row>
    <x:row r="1818" ht="18" customHeight="1">
      <x:c r="A1818" s="498"/>
      <x:c r="B1818" s="498"/>
      <x:c r="C1818" s="498"/>
      <x:c r="D1818" s="498"/>
      <x:c r="E1818" s="498"/>
      <x:c r="F1818" s="498"/>
      <x:c r="G1818" s="498"/>
      <x:c r="H1818" s="498"/>
      <x:c r="I1818" s="498"/>
      <x:c r="J1818" s="498"/>
      <x:c r="K1818" s="498"/>
      <x:c r="L1818" s="498"/>
      <x:c r="M1818" s="498"/>
    </x:row>
    <x:row r="1819" ht="18" customHeight="1">
      <x:c r="A1819" s="498"/>
      <x:c r="B1819" s="498"/>
      <x:c r="C1819" s="498"/>
      <x:c r="D1819" s="498"/>
      <x:c r="E1819" s="498"/>
      <x:c r="F1819" s="498"/>
      <x:c r="G1819" s="498"/>
      <x:c r="H1819" s="498"/>
      <x:c r="I1819" s="498"/>
      <x:c r="J1819" s="498"/>
      <x:c r="K1819" s="498"/>
      <x:c r="L1819" s="498"/>
      <x:c r="M1819" s="498"/>
    </x:row>
    <x:row r="1820" ht="18" customHeight="1">
      <x:c r="A1820" s="498"/>
      <x:c r="B1820" s="498"/>
      <x:c r="C1820" s="498"/>
      <x:c r="D1820" s="498"/>
      <x:c r="E1820" s="498"/>
      <x:c r="F1820" s="498"/>
      <x:c r="G1820" s="498"/>
      <x:c r="H1820" s="498"/>
      <x:c r="I1820" s="498"/>
      <x:c r="J1820" s="498"/>
      <x:c r="K1820" s="498"/>
      <x:c r="L1820" s="498"/>
      <x:c r="M1820" s="498"/>
    </x:row>
    <x:row r="1821" ht="18" customHeight="1">
      <x:c r="A1821" s="498"/>
      <x:c r="B1821" s="498"/>
      <x:c r="C1821" s="498"/>
      <x:c r="D1821" s="498"/>
      <x:c r="E1821" s="498"/>
      <x:c r="F1821" s="498"/>
      <x:c r="G1821" s="498"/>
      <x:c r="H1821" s="498"/>
      <x:c r="I1821" s="498"/>
      <x:c r="J1821" s="498"/>
      <x:c r="K1821" s="498"/>
      <x:c r="L1821" s="498"/>
      <x:c r="M1821" s="498"/>
    </x:row>
    <x:row r="1822" ht="18" customHeight="1">
      <x:c r="A1822" s="498"/>
      <x:c r="B1822" s="498"/>
      <x:c r="C1822" s="498"/>
      <x:c r="D1822" s="498"/>
      <x:c r="E1822" s="498"/>
      <x:c r="F1822" s="498"/>
      <x:c r="G1822" s="498"/>
      <x:c r="H1822" s="498"/>
      <x:c r="I1822" s="498"/>
      <x:c r="J1822" s="498"/>
      <x:c r="K1822" s="498"/>
      <x:c r="L1822" s="498"/>
      <x:c r="M1822" s="498"/>
    </x:row>
    <x:row r="1823" ht="18" customHeight="1">
      <x:c r="A1823" s="498"/>
      <x:c r="B1823" s="498"/>
      <x:c r="C1823" s="498"/>
      <x:c r="D1823" s="498"/>
      <x:c r="E1823" s="498"/>
      <x:c r="F1823" s="498"/>
      <x:c r="G1823" s="498"/>
      <x:c r="H1823" s="498"/>
      <x:c r="I1823" s="498"/>
      <x:c r="J1823" s="498"/>
      <x:c r="K1823" s="498"/>
      <x:c r="L1823" s="498"/>
      <x:c r="M1823" s="498"/>
    </x:row>
    <x:row r="1824" ht="18" customHeight="1">
      <x:c r="A1824" s="498"/>
      <x:c r="B1824" s="498"/>
      <x:c r="C1824" s="498"/>
      <x:c r="D1824" s="498"/>
      <x:c r="E1824" s="498"/>
      <x:c r="F1824" s="498"/>
      <x:c r="G1824" s="498"/>
      <x:c r="H1824" s="498"/>
      <x:c r="I1824" s="498"/>
      <x:c r="J1824" s="498"/>
      <x:c r="K1824" s="498"/>
      <x:c r="L1824" s="498"/>
      <x:c r="M1824" s="498"/>
    </x:row>
    <x:row r="1825" ht="18" customHeight="1">
      <x:c r="A1825" s="498"/>
      <x:c r="B1825" s="498"/>
      <x:c r="C1825" s="498"/>
      <x:c r="D1825" s="498"/>
      <x:c r="E1825" s="498"/>
      <x:c r="F1825" s="498"/>
      <x:c r="G1825" s="498"/>
      <x:c r="H1825" s="498"/>
      <x:c r="I1825" s="498"/>
      <x:c r="J1825" s="498"/>
      <x:c r="K1825" s="498"/>
      <x:c r="L1825" s="498"/>
      <x:c r="M1825" s="498"/>
    </x:row>
    <x:row r="1826" ht="18" customHeight="1">
      <x:c r="A1826" s="498"/>
      <x:c r="B1826" s="498"/>
      <x:c r="C1826" s="498"/>
      <x:c r="D1826" s="498"/>
      <x:c r="E1826" s="498"/>
      <x:c r="F1826" s="498"/>
      <x:c r="G1826" s="498"/>
      <x:c r="H1826" s="498"/>
      <x:c r="I1826" s="498"/>
      <x:c r="J1826" s="498"/>
      <x:c r="K1826" s="498"/>
      <x:c r="L1826" s="498"/>
      <x:c r="M1826" s="498"/>
    </x:row>
    <x:row r="1827" ht="18" customHeight="1">
      <x:c r="A1827" s="498"/>
      <x:c r="B1827" s="498"/>
      <x:c r="C1827" s="498"/>
      <x:c r="D1827" s="498"/>
      <x:c r="E1827" s="498"/>
      <x:c r="F1827" s="498"/>
      <x:c r="G1827" s="498"/>
      <x:c r="H1827" s="498"/>
      <x:c r="I1827" s="498"/>
      <x:c r="J1827" s="498"/>
      <x:c r="K1827" s="498"/>
      <x:c r="L1827" s="498"/>
      <x:c r="M1827" s="498"/>
    </x:row>
    <x:row r="1828" ht="18" customHeight="1">
      <x:c r="A1828" s="498"/>
      <x:c r="B1828" s="498"/>
      <x:c r="C1828" s="498"/>
      <x:c r="D1828" s="498"/>
      <x:c r="E1828" s="498"/>
      <x:c r="F1828" s="498"/>
      <x:c r="G1828" s="498"/>
      <x:c r="H1828" s="498"/>
      <x:c r="I1828" s="498"/>
      <x:c r="J1828" s="498"/>
      <x:c r="K1828" s="498"/>
      <x:c r="L1828" s="498"/>
      <x:c r="M1828" s="498"/>
    </x:row>
    <x:row r="1829" ht="18" customHeight="1">
      <x:c r="A1829" s="498"/>
      <x:c r="B1829" s="498"/>
      <x:c r="C1829" s="498"/>
      <x:c r="D1829" s="498"/>
      <x:c r="E1829" s="498"/>
      <x:c r="F1829" s="498"/>
      <x:c r="G1829" s="498"/>
      <x:c r="H1829" s="498"/>
      <x:c r="I1829" s="498"/>
      <x:c r="J1829" s="498"/>
      <x:c r="K1829" s="498"/>
      <x:c r="L1829" s="498"/>
      <x:c r="M1829" s="498"/>
    </x:row>
    <x:row r="1830" ht="18" customHeight="1">
      <x:c r="A1830" s="498"/>
      <x:c r="B1830" s="498"/>
      <x:c r="C1830" s="498"/>
      <x:c r="D1830" s="498"/>
      <x:c r="E1830" s="498"/>
      <x:c r="F1830" s="498"/>
      <x:c r="G1830" s="498"/>
      <x:c r="H1830" s="498"/>
      <x:c r="I1830" s="498"/>
      <x:c r="J1830" s="498"/>
      <x:c r="K1830" s="498"/>
      <x:c r="L1830" s="498"/>
      <x:c r="M1830" s="498"/>
    </x:row>
    <x:row r="1831" ht="18" customHeight="1">
      <x:c r="A1831" s="498"/>
      <x:c r="B1831" s="498"/>
      <x:c r="C1831" s="498"/>
      <x:c r="D1831" s="498"/>
      <x:c r="E1831" s="498"/>
      <x:c r="F1831" s="498"/>
      <x:c r="G1831" s="498"/>
      <x:c r="H1831" s="498"/>
      <x:c r="I1831" s="498"/>
      <x:c r="J1831" s="498"/>
      <x:c r="K1831" s="498"/>
      <x:c r="L1831" s="498"/>
      <x:c r="M1831" s="498"/>
    </x:row>
    <x:row r="1832" ht="18" customHeight="1">
      <x:c r="A1832" s="498"/>
      <x:c r="B1832" s="498"/>
      <x:c r="C1832" s="498"/>
      <x:c r="D1832" s="498"/>
      <x:c r="E1832" s="498"/>
      <x:c r="F1832" s="498"/>
      <x:c r="G1832" s="498"/>
      <x:c r="H1832" s="498"/>
      <x:c r="I1832" s="498"/>
      <x:c r="J1832" s="498"/>
      <x:c r="K1832" s="498"/>
      <x:c r="L1832" s="498"/>
      <x:c r="M1832" s="498"/>
    </x:row>
    <x:row r="1833" ht="18" customHeight="1">
      <x:c r="A1833" s="498"/>
      <x:c r="B1833" s="498"/>
      <x:c r="C1833" s="498"/>
      <x:c r="D1833" s="498"/>
      <x:c r="E1833" s="498"/>
      <x:c r="F1833" s="498"/>
      <x:c r="G1833" s="498"/>
      <x:c r="H1833" s="498"/>
      <x:c r="I1833" s="498"/>
      <x:c r="J1833" s="498"/>
      <x:c r="K1833" s="498"/>
      <x:c r="L1833" s="498"/>
      <x:c r="M1833" s="498"/>
    </x:row>
    <x:row r="1834" ht="18" customHeight="1">
      <x:c r="A1834" s="498"/>
      <x:c r="B1834" s="498"/>
      <x:c r="C1834" s="498"/>
      <x:c r="D1834" s="498"/>
      <x:c r="E1834" s="498"/>
      <x:c r="F1834" s="498"/>
      <x:c r="G1834" s="498"/>
      <x:c r="H1834" s="498"/>
      <x:c r="I1834" s="498"/>
      <x:c r="J1834" s="498"/>
      <x:c r="K1834" s="498"/>
      <x:c r="L1834" s="498"/>
      <x:c r="M1834" s="498"/>
    </x:row>
    <x:row r="1835" ht="18" customHeight="1">
      <x:c r="A1835" s="498"/>
      <x:c r="B1835" s="498"/>
      <x:c r="C1835" s="498"/>
      <x:c r="D1835" s="498"/>
      <x:c r="E1835" s="498"/>
      <x:c r="F1835" s="498"/>
      <x:c r="G1835" s="498"/>
      <x:c r="H1835" s="498"/>
      <x:c r="I1835" s="498"/>
      <x:c r="J1835" s="498"/>
      <x:c r="K1835" s="498"/>
      <x:c r="L1835" s="498"/>
      <x:c r="M1835" s="498"/>
    </x:row>
    <x:row r="1836" ht="18" customHeight="1">
      <x:c r="A1836" s="498"/>
      <x:c r="B1836" s="498"/>
      <x:c r="C1836" s="498"/>
      <x:c r="D1836" s="498"/>
      <x:c r="E1836" s="498"/>
      <x:c r="F1836" s="498"/>
      <x:c r="G1836" s="498"/>
      <x:c r="H1836" s="498"/>
      <x:c r="I1836" s="498"/>
      <x:c r="J1836" s="498"/>
      <x:c r="K1836" s="498"/>
      <x:c r="L1836" s="498"/>
      <x:c r="M1836" s="498"/>
    </x:row>
    <x:row r="1837" ht="18" customHeight="1">
      <x:c r="A1837" s="498"/>
      <x:c r="B1837" s="498"/>
      <x:c r="C1837" s="498"/>
      <x:c r="D1837" s="498"/>
      <x:c r="E1837" s="498"/>
      <x:c r="F1837" s="498"/>
      <x:c r="G1837" s="498"/>
      <x:c r="H1837" s="498"/>
      <x:c r="I1837" s="498"/>
      <x:c r="J1837" s="498"/>
      <x:c r="K1837" s="498"/>
      <x:c r="L1837" s="498"/>
      <x:c r="M1837" s="498"/>
    </x:row>
    <x:row r="1838" ht="18" customHeight="1">
      <x:c r="A1838" s="498"/>
      <x:c r="B1838" s="498"/>
      <x:c r="C1838" s="498"/>
      <x:c r="D1838" s="498"/>
      <x:c r="E1838" s="498"/>
      <x:c r="F1838" s="498"/>
      <x:c r="G1838" s="498"/>
      <x:c r="H1838" s="498"/>
      <x:c r="I1838" s="498"/>
      <x:c r="J1838" s="498"/>
      <x:c r="K1838" s="498"/>
      <x:c r="L1838" s="498"/>
      <x:c r="M1838" s="498"/>
    </x:row>
    <x:row r="1839" ht="18" customHeight="1">
      <x:c r="A1839" s="498"/>
      <x:c r="B1839" s="498"/>
      <x:c r="C1839" s="498"/>
      <x:c r="D1839" s="498"/>
      <x:c r="E1839" s="498"/>
      <x:c r="F1839" s="498"/>
      <x:c r="G1839" s="498"/>
      <x:c r="H1839" s="498"/>
      <x:c r="I1839" s="498"/>
      <x:c r="J1839" s="498"/>
      <x:c r="K1839" s="498"/>
      <x:c r="L1839" s="498"/>
      <x:c r="M1839" s="498"/>
    </x:row>
    <x:row r="1840" ht="18" customHeight="1">
      <x:c r="A1840" s="498"/>
      <x:c r="B1840" s="498"/>
      <x:c r="C1840" s="498"/>
      <x:c r="D1840" s="498"/>
      <x:c r="E1840" s="498"/>
      <x:c r="F1840" s="498"/>
      <x:c r="G1840" s="498"/>
      <x:c r="H1840" s="498"/>
      <x:c r="I1840" s="498"/>
      <x:c r="J1840" s="498"/>
      <x:c r="K1840" s="498"/>
      <x:c r="L1840" s="498"/>
      <x:c r="M1840" s="498"/>
    </x:row>
    <x:row r="1841" ht="18" customHeight="1">
      <x:c r="A1841" s="498"/>
      <x:c r="B1841" s="498"/>
      <x:c r="C1841" s="498"/>
      <x:c r="D1841" s="498"/>
      <x:c r="E1841" s="498"/>
      <x:c r="F1841" s="498"/>
      <x:c r="G1841" s="498"/>
      <x:c r="H1841" s="498"/>
      <x:c r="I1841" s="498"/>
      <x:c r="J1841" s="498"/>
      <x:c r="K1841" s="498"/>
      <x:c r="L1841" s="498"/>
      <x:c r="M1841" s="498"/>
    </x:row>
    <x:row r="1842" ht="18" customHeight="1">
      <x:c r="A1842" s="498"/>
      <x:c r="B1842" s="498"/>
      <x:c r="C1842" s="498"/>
      <x:c r="D1842" s="498"/>
      <x:c r="E1842" s="498"/>
      <x:c r="F1842" s="498"/>
      <x:c r="G1842" s="498"/>
      <x:c r="H1842" s="498"/>
      <x:c r="I1842" s="498"/>
      <x:c r="J1842" s="498"/>
      <x:c r="K1842" s="498"/>
      <x:c r="L1842" s="498"/>
      <x:c r="M1842" s="498"/>
    </x:row>
    <x:row r="1843" ht="18" customHeight="1">
      <x:c r="A1843" s="498"/>
      <x:c r="B1843" s="498"/>
      <x:c r="C1843" s="498"/>
      <x:c r="D1843" s="498"/>
      <x:c r="E1843" s="498"/>
      <x:c r="F1843" s="498"/>
      <x:c r="G1843" s="498"/>
      <x:c r="H1843" s="498"/>
      <x:c r="I1843" s="498"/>
      <x:c r="J1843" s="498"/>
      <x:c r="K1843" s="498"/>
      <x:c r="L1843" s="498"/>
      <x:c r="M1843" s="498"/>
    </x:row>
    <x:row r="1844" ht="18" customHeight="1">
      <x:c r="A1844" s="498"/>
      <x:c r="B1844" s="498"/>
      <x:c r="C1844" s="498"/>
      <x:c r="D1844" s="498"/>
      <x:c r="E1844" s="498"/>
      <x:c r="F1844" s="498"/>
      <x:c r="G1844" s="498"/>
      <x:c r="H1844" s="498"/>
      <x:c r="I1844" s="498"/>
      <x:c r="J1844" s="498"/>
      <x:c r="K1844" s="498"/>
      <x:c r="L1844" s="498"/>
      <x:c r="M1844" s="498"/>
    </x:row>
    <x:row r="1845" ht="18" customHeight="1">
      <x:c r="A1845" s="498"/>
      <x:c r="B1845" s="498"/>
      <x:c r="C1845" s="498"/>
      <x:c r="D1845" s="498"/>
      <x:c r="E1845" s="498"/>
      <x:c r="F1845" s="498"/>
      <x:c r="G1845" s="498"/>
      <x:c r="H1845" s="498"/>
      <x:c r="I1845" s="498"/>
      <x:c r="J1845" s="498"/>
      <x:c r="K1845" s="498"/>
      <x:c r="L1845" s="498"/>
      <x:c r="M1845" s="498"/>
    </x:row>
    <x:row r="1846" ht="18" customHeight="1">
      <x:c r="A1846" s="498"/>
      <x:c r="B1846" s="498"/>
      <x:c r="C1846" s="498"/>
      <x:c r="D1846" s="498"/>
      <x:c r="E1846" s="498"/>
      <x:c r="F1846" s="498"/>
      <x:c r="G1846" s="498"/>
      <x:c r="H1846" s="498"/>
      <x:c r="I1846" s="498"/>
      <x:c r="J1846" s="498"/>
      <x:c r="K1846" s="498"/>
      <x:c r="L1846" s="498"/>
      <x:c r="M1846" s="498"/>
    </x:row>
    <x:row r="1847" ht="18" customHeight="1">
      <x:c r="A1847" s="498"/>
      <x:c r="B1847" s="498"/>
      <x:c r="C1847" s="498"/>
      <x:c r="D1847" s="498"/>
      <x:c r="E1847" s="498"/>
      <x:c r="F1847" s="498"/>
      <x:c r="G1847" s="498"/>
      <x:c r="H1847" s="498"/>
      <x:c r="I1847" s="498"/>
      <x:c r="J1847" s="498"/>
      <x:c r="K1847" s="498"/>
      <x:c r="L1847" s="498"/>
      <x:c r="M1847" s="498"/>
    </x:row>
    <x:row r="1848" ht="18" customHeight="1">
      <x:c r="A1848" s="498"/>
      <x:c r="B1848" s="498"/>
      <x:c r="C1848" s="498"/>
      <x:c r="D1848" s="498"/>
      <x:c r="E1848" s="498"/>
      <x:c r="F1848" s="498"/>
      <x:c r="G1848" s="498"/>
      <x:c r="H1848" s="498"/>
      <x:c r="I1848" s="498"/>
      <x:c r="J1848" s="498"/>
      <x:c r="K1848" s="498"/>
      <x:c r="L1848" s="498"/>
      <x:c r="M1848" s="498"/>
    </x:row>
    <x:row r="1849" ht="18" customHeight="1">
      <x:c r="A1849" s="498"/>
      <x:c r="B1849" s="498"/>
      <x:c r="C1849" s="498"/>
      <x:c r="D1849" s="498"/>
      <x:c r="E1849" s="498"/>
      <x:c r="F1849" s="498"/>
      <x:c r="G1849" s="498"/>
      <x:c r="H1849" s="498"/>
      <x:c r="I1849" s="498"/>
      <x:c r="J1849" s="498"/>
      <x:c r="K1849" s="498"/>
      <x:c r="L1849" s="498"/>
      <x:c r="M1849" s="498"/>
    </x:row>
    <x:row r="1850" ht="18" customHeight="1">
      <x:c r="A1850" s="498"/>
      <x:c r="B1850" s="498"/>
      <x:c r="C1850" s="498"/>
      <x:c r="D1850" s="498"/>
      <x:c r="E1850" s="498"/>
      <x:c r="F1850" s="498"/>
      <x:c r="G1850" s="498"/>
      <x:c r="H1850" s="498"/>
      <x:c r="I1850" s="498"/>
      <x:c r="J1850" s="498"/>
      <x:c r="K1850" s="498"/>
      <x:c r="L1850" s="498"/>
      <x:c r="M1850" s="498"/>
    </x:row>
    <x:row r="1851" ht="18" customHeight="1">
      <x:c r="A1851" s="498"/>
      <x:c r="B1851" s="498"/>
      <x:c r="C1851" s="498"/>
      <x:c r="D1851" s="498"/>
      <x:c r="E1851" s="498"/>
      <x:c r="F1851" s="498"/>
      <x:c r="G1851" s="498"/>
      <x:c r="H1851" s="498"/>
      <x:c r="I1851" s="498"/>
      <x:c r="J1851" s="498"/>
      <x:c r="K1851" s="498"/>
      <x:c r="L1851" s="498"/>
      <x:c r="M1851" s="498"/>
    </x:row>
    <x:row r="1852" ht="18" customHeight="1">
      <x:c r="A1852" s="498"/>
      <x:c r="B1852" s="498"/>
      <x:c r="C1852" s="498"/>
      <x:c r="D1852" s="498"/>
      <x:c r="E1852" s="498"/>
      <x:c r="F1852" s="498"/>
      <x:c r="G1852" s="498"/>
      <x:c r="H1852" s="498"/>
      <x:c r="I1852" s="498"/>
      <x:c r="J1852" s="498"/>
      <x:c r="K1852" s="498"/>
      <x:c r="L1852" s="498"/>
      <x:c r="M1852" s="498"/>
    </x:row>
    <x:row r="1853" ht="18" customHeight="1">
      <x:c r="A1853" s="498"/>
      <x:c r="B1853" s="498"/>
      <x:c r="C1853" s="498"/>
      <x:c r="D1853" s="498"/>
      <x:c r="E1853" s="498"/>
      <x:c r="F1853" s="498"/>
      <x:c r="G1853" s="498"/>
      <x:c r="H1853" s="498"/>
      <x:c r="I1853" s="498"/>
      <x:c r="J1853" s="498"/>
      <x:c r="K1853" s="498"/>
      <x:c r="L1853" s="498"/>
      <x:c r="M1853" s="498"/>
    </x:row>
    <x:row r="1854" ht="18" customHeight="1">
      <x:c r="A1854" s="498"/>
      <x:c r="B1854" s="498"/>
      <x:c r="C1854" s="498"/>
      <x:c r="D1854" s="498"/>
      <x:c r="E1854" s="498"/>
      <x:c r="F1854" s="498"/>
      <x:c r="G1854" s="498"/>
      <x:c r="H1854" s="498"/>
      <x:c r="I1854" s="498"/>
      <x:c r="J1854" s="498"/>
      <x:c r="K1854" s="498"/>
      <x:c r="L1854" s="498"/>
      <x:c r="M1854" s="498"/>
    </x:row>
    <x:row r="1855" ht="18" customHeight="1">
      <x:c r="A1855" s="498"/>
      <x:c r="B1855" s="498"/>
      <x:c r="C1855" s="498"/>
      <x:c r="D1855" s="498"/>
      <x:c r="E1855" s="498"/>
      <x:c r="F1855" s="498"/>
      <x:c r="G1855" s="498"/>
      <x:c r="H1855" s="498"/>
      <x:c r="I1855" s="498"/>
      <x:c r="J1855" s="498"/>
      <x:c r="K1855" s="498"/>
      <x:c r="L1855" s="498"/>
      <x:c r="M1855" s="498"/>
    </x:row>
    <x:row r="1856" ht="18" customHeight="1">
      <x:c r="A1856" s="498"/>
      <x:c r="B1856" s="498"/>
      <x:c r="C1856" s="498"/>
      <x:c r="D1856" s="498"/>
      <x:c r="E1856" s="498"/>
      <x:c r="F1856" s="498"/>
      <x:c r="G1856" s="498"/>
      <x:c r="H1856" s="498"/>
      <x:c r="I1856" s="498"/>
      <x:c r="J1856" s="498"/>
      <x:c r="K1856" s="498"/>
      <x:c r="L1856" s="498"/>
      <x:c r="M1856" s="498"/>
    </x:row>
    <x:row r="1857" ht="18" customHeight="1">
      <x:c r="A1857" s="498"/>
      <x:c r="B1857" s="498"/>
      <x:c r="C1857" s="498"/>
      <x:c r="D1857" s="498"/>
      <x:c r="E1857" s="498"/>
      <x:c r="F1857" s="498"/>
      <x:c r="G1857" s="498"/>
      <x:c r="H1857" s="498"/>
      <x:c r="I1857" s="498"/>
      <x:c r="J1857" s="498"/>
      <x:c r="K1857" s="498"/>
      <x:c r="L1857" s="498"/>
      <x:c r="M1857" s="498"/>
    </x:row>
    <x:row r="1858" ht="18" customHeight="1">
      <x:c r="A1858" s="498"/>
      <x:c r="B1858" s="498"/>
      <x:c r="C1858" s="498"/>
      <x:c r="D1858" s="498"/>
      <x:c r="E1858" s="498"/>
      <x:c r="F1858" s="498"/>
      <x:c r="G1858" s="498"/>
      <x:c r="H1858" s="498"/>
      <x:c r="I1858" s="498"/>
      <x:c r="J1858" s="498"/>
      <x:c r="K1858" s="498"/>
      <x:c r="L1858" s="498"/>
      <x:c r="M1858" s="498"/>
    </x:row>
    <x:row r="1859" ht="18" customHeight="1">
      <x:c r="A1859" s="498"/>
      <x:c r="B1859" s="498"/>
      <x:c r="C1859" s="498"/>
      <x:c r="D1859" s="498"/>
      <x:c r="E1859" s="498"/>
      <x:c r="F1859" s="498"/>
      <x:c r="G1859" s="498"/>
      <x:c r="H1859" s="498"/>
      <x:c r="I1859" s="498"/>
      <x:c r="J1859" s="498"/>
      <x:c r="K1859" s="498"/>
      <x:c r="L1859" s="498"/>
      <x:c r="M1859" s="498"/>
    </x:row>
    <x:row r="1860" ht="18" customHeight="1">
      <x:c r="A1860" s="498"/>
      <x:c r="B1860" s="498"/>
      <x:c r="C1860" s="498"/>
      <x:c r="D1860" s="498"/>
      <x:c r="E1860" s="498"/>
      <x:c r="F1860" s="498"/>
      <x:c r="G1860" s="498"/>
      <x:c r="H1860" s="498"/>
      <x:c r="I1860" s="498"/>
      <x:c r="J1860" s="498"/>
      <x:c r="K1860" s="498"/>
      <x:c r="L1860" s="498"/>
      <x:c r="M1860" s="498"/>
    </x:row>
    <x:row r="1861" ht="18" customHeight="1">
      <x:c r="A1861" s="498"/>
      <x:c r="B1861" s="498"/>
      <x:c r="C1861" s="498"/>
      <x:c r="D1861" s="498"/>
      <x:c r="E1861" s="498"/>
      <x:c r="F1861" s="498"/>
      <x:c r="G1861" s="498"/>
      <x:c r="H1861" s="498"/>
      <x:c r="I1861" s="498"/>
      <x:c r="J1861" s="498"/>
      <x:c r="K1861" s="498"/>
      <x:c r="L1861" s="498"/>
      <x:c r="M1861" s="498"/>
    </x:row>
    <x:row r="1862" ht="18" customHeight="1">
      <x:c r="A1862" s="498"/>
      <x:c r="B1862" s="498"/>
      <x:c r="C1862" s="498"/>
      <x:c r="D1862" s="498"/>
      <x:c r="E1862" s="498"/>
      <x:c r="F1862" s="498"/>
      <x:c r="G1862" s="498"/>
      <x:c r="H1862" s="498"/>
      <x:c r="I1862" s="498"/>
      <x:c r="J1862" s="498"/>
      <x:c r="K1862" s="498"/>
      <x:c r="L1862" s="498"/>
      <x:c r="M1862" s="498"/>
    </x:row>
    <x:row r="1863" ht="18" customHeight="1">
      <x:c r="A1863" s="498"/>
      <x:c r="B1863" s="498"/>
      <x:c r="C1863" s="498"/>
      <x:c r="D1863" s="498"/>
      <x:c r="E1863" s="498"/>
      <x:c r="F1863" s="498"/>
      <x:c r="G1863" s="498"/>
      <x:c r="H1863" s="498"/>
      <x:c r="I1863" s="498"/>
      <x:c r="J1863" s="498"/>
      <x:c r="K1863" s="498"/>
      <x:c r="L1863" s="498"/>
      <x:c r="M1863" s="498"/>
    </x:row>
    <x:row r="1864" ht="18" customHeight="1">
      <x:c r="A1864" s="498"/>
      <x:c r="B1864" s="498"/>
      <x:c r="C1864" s="498"/>
      <x:c r="D1864" s="498"/>
      <x:c r="E1864" s="498"/>
      <x:c r="F1864" s="498"/>
      <x:c r="G1864" s="498"/>
      <x:c r="H1864" s="498"/>
      <x:c r="I1864" s="498"/>
      <x:c r="J1864" s="498"/>
      <x:c r="K1864" s="498"/>
      <x:c r="L1864" s="498"/>
      <x:c r="M1864" s="498"/>
    </x:row>
    <x:row r="1865" ht="18" customHeight="1">
      <x:c r="A1865" s="498"/>
      <x:c r="B1865" s="498"/>
      <x:c r="C1865" s="498"/>
      <x:c r="D1865" s="498"/>
      <x:c r="E1865" s="498"/>
      <x:c r="F1865" s="498"/>
      <x:c r="G1865" s="498"/>
      <x:c r="H1865" s="498"/>
      <x:c r="I1865" s="498"/>
      <x:c r="J1865" s="498"/>
      <x:c r="K1865" s="498"/>
      <x:c r="L1865" s="498"/>
      <x:c r="M1865" s="498"/>
    </x:row>
    <x:row r="1866" ht="18" customHeight="1">
      <x:c r="A1866" s="498"/>
      <x:c r="B1866" s="498"/>
      <x:c r="C1866" s="498"/>
      <x:c r="D1866" s="498"/>
      <x:c r="E1866" s="498"/>
      <x:c r="F1866" s="498"/>
      <x:c r="G1866" s="498"/>
      <x:c r="H1866" s="498"/>
      <x:c r="I1866" s="498"/>
      <x:c r="J1866" s="498"/>
      <x:c r="K1866" s="498"/>
      <x:c r="L1866" s="498"/>
      <x:c r="M1866" s="498"/>
    </x:row>
    <x:row r="1867" ht="18" customHeight="1">
      <x:c r="A1867" s="498"/>
      <x:c r="B1867" s="498"/>
      <x:c r="C1867" s="498"/>
      <x:c r="D1867" s="498"/>
      <x:c r="E1867" s="498"/>
      <x:c r="F1867" s="498"/>
      <x:c r="G1867" s="498"/>
      <x:c r="H1867" s="498"/>
      <x:c r="I1867" s="498"/>
      <x:c r="J1867" s="498"/>
      <x:c r="K1867" s="498"/>
      <x:c r="L1867" s="498"/>
      <x:c r="M1867" s="498"/>
    </x:row>
    <x:row r="1868" ht="18" customHeight="1">
      <x:c r="A1868" s="498"/>
      <x:c r="B1868" s="498"/>
      <x:c r="C1868" s="498"/>
      <x:c r="D1868" s="498"/>
      <x:c r="E1868" s="498"/>
      <x:c r="F1868" s="498"/>
      <x:c r="G1868" s="498"/>
      <x:c r="H1868" s="498"/>
      <x:c r="I1868" s="498"/>
      <x:c r="J1868" s="498"/>
      <x:c r="K1868" s="498"/>
      <x:c r="L1868" s="498"/>
      <x:c r="M1868" s="498"/>
    </x:row>
    <x:row r="1869" ht="18" customHeight="1">
      <x:c r="A1869" s="498"/>
      <x:c r="B1869" s="498"/>
      <x:c r="C1869" s="498"/>
      <x:c r="D1869" s="498"/>
      <x:c r="E1869" s="498"/>
      <x:c r="F1869" s="498"/>
      <x:c r="G1869" s="498"/>
      <x:c r="H1869" s="498"/>
      <x:c r="I1869" s="498"/>
      <x:c r="J1869" s="498"/>
      <x:c r="K1869" s="498"/>
      <x:c r="L1869" s="498"/>
      <x:c r="M1869" s="498"/>
    </x:row>
    <x:row r="1870" ht="18" customHeight="1">
      <x:c r="A1870" s="498"/>
      <x:c r="B1870" s="498"/>
      <x:c r="C1870" s="498"/>
      <x:c r="D1870" s="498"/>
      <x:c r="E1870" s="498"/>
      <x:c r="F1870" s="498"/>
      <x:c r="G1870" s="498"/>
      <x:c r="H1870" s="498"/>
      <x:c r="I1870" s="498"/>
      <x:c r="J1870" s="498"/>
      <x:c r="K1870" s="498"/>
      <x:c r="L1870" s="498"/>
      <x:c r="M1870" s="498"/>
    </x:row>
    <x:row r="1871" ht="18" customHeight="1">
      <x:c r="A1871" s="498"/>
      <x:c r="B1871" s="498"/>
      <x:c r="C1871" s="498"/>
      <x:c r="D1871" s="498"/>
      <x:c r="E1871" s="498"/>
      <x:c r="F1871" s="498"/>
      <x:c r="G1871" s="498"/>
      <x:c r="H1871" s="498"/>
      <x:c r="I1871" s="498"/>
      <x:c r="J1871" s="498"/>
      <x:c r="K1871" s="498"/>
      <x:c r="L1871" s="498"/>
      <x:c r="M1871" s="498"/>
    </x:row>
    <x:row r="1872" ht="18" customHeight="1">
      <x:c r="A1872" s="498"/>
      <x:c r="B1872" s="498"/>
      <x:c r="C1872" s="498"/>
      <x:c r="D1872" s="498"/>
      <x:c r="E1872" s="498"/>
      <x:c r="F1872" s="498"/>
      <x:c r="G1872" s="498"/>
      <x:c r="H1872" s="498"/>
      <x:c r="I1872" s="498"/>
      <x:c r="J1872" s="498"/>
      <x:c r="K1872" s="498"/>
      <x:c r="L1872" s="498"/>
      <x:c r="M1872" s="498"/>
    </x:row>
    <x:row r="1873" ht="18" customHeight="1">
      <x:c r="A1873" s="498"/>
      <x:c r="B1873" s="498"/>
      <x:c r="C1873" s="498"/>
      <x:c r="D1873" s="498"/>
      <x:c r="E1873" s="498"/>
      <x:c r="F1873" s="498"/>
      <x:c r="G1873" s="498"/>
      <x:c r="H1873" s="498"/>
      <x:c r="I1873" s="498"/>
      <x:c r="J1873" s="498"/>
      <x:c r="K1873" s="498"/>
      <x:c r="L1873" s="498"/>
      <x:c r="M1873" s="498"/>
    </x:row>
    <x:row r="1874" ht="18" customHeight="1">
      <x:c r="A1874" s="498"/>
      <x:c r="B1874" s="498"/>
      <x:c r="C1874" s="498"/>
      <x:c r="D1874" s="498"/>
      <x:c r="E1874" s="498"/>
      <x:c r="F1874" s="498"/>
      <x:c r="G1874" s="498"/>
      <x:c r="H1874" s="498"/>
      <x:c r="I1874" s="498"/>
      <x:c r="J1874" s="498"/>
      <x:c r="K1874" s="498"/>
      <x:c r="L1874" s="498"/>
      <x:c r="M1874" s="498"/>
    </x:row>
    <x:row r="1875" ht="18" customHeight="1">
      <x:c r="A1875" s="498"/>
      <x:c r="B1875" s="498"/>
      <x:c r="C1875" s="498"/>
      <x:c r="D1875" s="498"/>
      <x:c r="E1875" s="498"/>
      <x:c r="F1875" s="498"/>
      <x:c r="G1875" s="498"/>
      <x:c r="H1875" s="498"/>
      <x:c r="I1875" s="498"/>
      <x:c r="J1875" s="498"/>
      <x:c r="K1875" s="498"/>
      <x:c r="L1875" s="498"/>
      <x:c r="M1875" s="498"/>
    </x:row>
    <x:row r="1876" ht="18" customHeight="1">
      <x:c r="A1876" s="498"/>
      <x:c r="B1876" s="498"/>
      <x:c r="C1876" s="498"/>
      <x:c r="D1876" s="498"/>
      <x:c r="E1876" s="498"/>
      <x:c r="F1876" s="498"/>
      <x:c r="G1876" s="498"/>
      <x:c r="H1876" s="498"/>
      <x:c r="I1876" s="498"/>
      <x:c r="J1876" s="498"/>
      <x:c r="K1876" s="498"/>
      <x:c r="L1876" s="498"/>
      <x:c r="M1876" s="498"/>
    </x:row>
    <x:row r="1877" ht="18" customHeight="1">
      <x:c r="A1877" s="498"/>
      <x:c r="B1877" s="498"/>
      <x:c r="C1877" s="498"/>
      <x:c r="D1877" s="498"/>
      <x:c r="E1877" s="498"/>
      <x:c r="F1877" s="498"/>
      <x:c r="G1877" s="498"/>
      <x:c r="H1877" s="498"/>
      <x:c r="I1877" s="498"/>
      <x:c r="J1877" s="498"/>
      <x:c r="K1877" s="498"/>
      <x:c r="L1877" s="498"/>
      <x:c r="M1877" s="498"/>
    </x:row>
    <x:row r="1878" ht="18" customHeight="1">
      <x:c r="A1878" s="498"/>
      <x:c r="B1878" s="498"/>
      <x:c r="C1878" s="498"/>
      <x:c r="D1878" s="498"/>
      <x:c r="E1878" s="498"/>
      <x:c r="F1878" s="498"/>
      <x:c r="G1878" s="498"/>
      <x:c r="H1878" s="498"/>
      <x:c r="I1878" s="498"/>
      <x:c r="J1878" s="498"/>
      <x:c r="K1878" s="498"/>
      <x:c r="L1878" s="498"/>
      <x:c r="M1878" s="498"/>
    </x:row>
    <x:row r="1879" ht="18" customHeight="1">
      <x:c r="A1879" s="498"/>
      <x:c r="B1879" s="498"/>
      <x:c r="C1879" s="498"/>
      <x:c r="D1879" s="498"/>
      <x:c r="E1879" s="498"/>
      <x:c r="F1879" s="498"/>
      <x:c r="G1879" s="498"/>
      <x:c r="H1879" s="498"/>
      <x:c r="I1879" s="498"/>
      <x:c r="J1879" s="498"/>
      <x:c r="K1879" s="498"/>
      <x:c r="L1879" s="498"/>
      <x:c r="M1879" s="498"/>
    </x:row>
    <x:row r="1880" ht="18" customHeight="1">
      <x:c r="A1880" s="498"/>
      <x:c r="B1880" s="498"/>
      <x:c r="C1880" s="498"/>
      <x:c r="D1880" s="498"/>
      <x:c r="E1880" s="498"/>
      <x:c r="F1880" s="498"/>
      <x:c r="G1880" s="498"/>
      <x:c r="H1880" s="498"/>
      <x:c r="I1880" s="498"/>
      <x:c r="J1880" s="498"/>
      <x:c r="K1880" s="498"/>
      <x:c r="L1880" s="498"/>
      <x:c r="M1880" s="498"/>
    </x:row>
    <x:row r="1881" ht="18" customHeight="1">
      <x:c r="A1881" s="498"/>
      <x:c r="B1881" s="498"/>
      <x:c r="C1881" s="498"/>
      <x:c r="D1881" s="498"/>
      <x:c r="E1881" s="498"/>
      <x:c r="F1881" s="498"/>
      <x:c r="G1881" s="498"/>
      <x:c r="H1881" s="498"/>
      <x:c r="I1881" s="498"/>
      <x:c r="J1881" s="498"/>
      <x:c r="K1881" s="498"/>
      <x:c r="L1881" s="498"/>
      <x:c r="M1881" s="498"/>
    </x:row>
    <x:row r="1882" ht="18" customHeight="1">
      <x:c r="A1882" s="498"/>
      <x:c r="B1882" s="498"/>
      <x:c r="C1882" s="498"/>
      <x:c r="D1882" s="498"/>
      <x:c r="E1882" s="498"/>
      <x:c r="F1882" s="498"/>
      <x:c r="G1882" s="498"/>
      <x:c r="H1882" s="498"/>
      <x:c r="I1882" s="498"/>
      <x:c r="J1882" s="498"/>
      <x:c r="K1882" s="498"/>
      <x:c r="L1882" s="498"/>
      <x:c r="M1882" s="498"/>
    </x:row>
    <x:row r="1883" ht="18" customHeight="1">
      <x:c r="A1883" s="498"/>
      <x:c r="B1883" s="498"/>
      <x:c r="C1883" s="498"/>
      <x:c r="D1883" s="498"/>
      <x:c r="E1883" s="498"/>
      <x:c r="F1883" s="498"/>
      <x:c r="G1883" s="498"/>
      <x:c r="H1883" s="498"/>
      <x:c r="I1883" s="498"/>
      <x:c r="J1883" s="498"/>
      <x:c r="K1883" s="498"/>
      <x:c r="L1883" s="498"/>
      <x:c r="M1883" s="498"/>
    </x:row>
    <x:row r="1884" ht="18" customHeight="1">
      <x:c r="A1884" s="498"/>
      <x:c r="B1884" s="498"/>
      <x:c r="C1884" s="498"/>
      <x:c r="D1884" s="498"/>
      <x:c r="E1884" s="498"/>
      <x:c r="F1884" s="498"/>
      <x:c r="G1884" s="498"/>
      <x:c r="H1884" s="498"/>
      <x:c r="I1884" s="498"/>
      <x:c r="J1884" s="498"/>
      <x:c r="K1884" s="498"/>
      <x:c r="L1884" s="498"/>
      <x:c r="M1884" s="498"/>
    </x:row>
    <x:row r="1885" ht="18" customHeight="1">
      <x:c r="A1885" s="498"/>
      <x:c r="B1885" s="498"/>
      <x:c r="C1885" s="498"/>
      <x:c r="D1885" s="498"/>
      <x:c r="E1885" s="498"/>
      <x:c r="F1885" s="498"/>
      <x:c r="G1885" s="498"/>
      <x:c r="H1885" s="498"/>
      <x:c r="I1885" s="498"/>
      <x:c r="J1885" s="498"/>
      <x:c r="K1885" s="498"/>
      <x:c r="L1885" s="498"/>
      <x:c r="M1885" s="498"/>
    </x:row>
    <x:row r="1886" ht="18" customHeight="1">
      <x:c r="A1886" s="498"/>
      <x:c r="B1886" s="498"/>
      <x:c r="C1886" s="498"/>
      <x:c r="D1886" s="498"/>
      <x:c r="E1886" s="498"/>
      <x:c r="F1886" s="498"/>
      <x:c r="G1886" s="498"/>
      <x:c r="H1886" s="498"/>
      <x:c r="I1886" s="498"/>
      <x:c r="J1886" s="498"/>
      <x:c r="K1886" s="498"/>
      <x:c r="L1886" s="498"/>
      <x:c r="M1886" s="498"/>
    </x:row>
    <x:row r="1887" ht="18" customHeight="1">
      <x:c r="A1887" s="498"/>
      <x:c r="B1887" s="498"/>
      <x:c r="C1887" s="498"/>
      <x:c r="D1887" s="498"/>
      <x:c r="E1887" s="498"/>
      <x:c r="F1887" s="498"/>
      <x:c r="G1887" s="498"/>
      <x:c r="H1887" s="498"/>
      <x:c r="I1887" s="498"/>
      <x:c r="J1887" s="498"/>
      <x:c r="K1887" s="498"/>
      <x:c r="L1887" s="498"/>
      <x:c r="M1887" s="498"/>
    </x:row>
    <x:row r="1888" ht="18" customHeight="1">
      <x:c r="A1888" s="498"/>
      <x:c r="B1888" s="498"/>
      <x:c r="C1888" s="498"/>
      <x:c r="D1888" s="498"/>
      <x:c r="E1888" s="498"/>
      <x:c r="F1888" s="498"/>
      <x:c r="G1888" s="498"/>
      <x:c r="H1888" s="498"/>
      <x:c r="I1888" s="498"/>
      <x:c r="J1888" s="498"/>
      <x:c r="K1888" s="498"/>
      <x:c r="L1888" s="498"/>
      <x:c r="M1888" s="498"/>
    </x:row>
    <x:row r="1889" ht="18" customHeight="1">
      <x:c r="A1889" s="498"/>
      <x:c r="B1889" s="498"/>
      <x:c r="C1889" s="498"/>
      <x:c r="D1889" s="498"/>
      <x:c r="E1889" s="498"/>
      <x:c r="F1889" s="498"/>
      <x:c r="G1889" s="498"/>
      <x:c r="H1889" s="498"/>
      <x:c r="I1889" s="498"/>
      <x:c r="J1889" s="498"/>
      <x:c r="K1889" s="498"/>
      <x:c r="L1889" s="498"/>
      <x:c r="M1889" s="498"/>
    </x:row>
    <x:row r="1890" ht="18" customHeight="1">
      <x:c r="A1890" s="498"/>
      <x:c r="B1890" s="498"/>
      <x:c r="C1890" s="498"/>
      <x:c r="D1890" s="498"/>
      <x:c r="E1890" s="498"/>
      <x:c r="F1890" s="498"/>
      <x:c r="G1890" s="498"/>
      <x:c r="H1890" s="498"/>
      <x:c r="I1890" s="498"/>
      <x:c r="J1890" s="498"/>
      <x:c r="K1890" s="498"/>
      <x:c r="L1890" s="498"/>
      <x:c r="M1890" s="498"/>
    </x:row>
    <x:row r="1891" ht="18" customHeight="1">
      <x:c r="A1891" s="498"/>
      <x:c r="B1891" s="498"/>
      <x:c r="C1891" s="498"/>
      <x:c r="D1891" s="498"/>
      <x:c r="E1891" s="498"/>
      <x:c r="F1891" s="498"/>
      <x:c r="G1891" s="498"/>
      <x:c r="H1891" s="498"/>
      <x:c r="I1891" s="498"/>
      <x:c r="J1891" s="498"/>
      <x:c r="K1891" s="498"/>
      <x:c r="L1891" s="498"/>
      <x:c r="M1891" s="498"/>
    </x:row>
    <x:row r="1892" ht="18" customHeight="1">
      <x:c r="A1892" s="498"/>
      <x:c r="B1892" s="498"/>
      <x:c r="C1892" s="498"/>
      <x:c r="D1892" s="498"/>
      <x:c r="E1892" s="498"/>
      <x:c r="F1892" s="498"/>
      <x:c r="G1892" s="498"/>
      <x:c r="H1892" s="498"/>
      <x:c r="I1892" s="498"/>
      <x:c r="J1892" s="498"/>
      <x:c r="K1892" s="498"/>
      <x:c r="L1892" s="498"/>
      <x:c r="M1892" s="498"/>
    </x:row>
    <x:row r="1893" ht="18" customHeight="1">
      <x:c r="A1893" s="498"/>
      <x:c r="B1893" s="498"/>
      <x:c r="C1893" s="498"/>
      <x:c r="D1893" s="498"/>
      <x:c r="E1893" s="498"/>
      <x:c r="F1893" s="498"/>
      <x:c r="G1893" s="498"/>
      <x:c r="H1893" s="498"/>
      <x:c r="I1893" s="498"/>
      <x:c r="J1893" s="498"/>
      <x:c r="K1893" s="498"/>
      <x:c r="L1893" s="498"/>
      <x:c r="M1893" s="498"/>
    </x:row>
    <x:row r="1894" ht="18" customHeight="1">
      <x:c r="A1894" s="498"/>
      <x:c r="B1894" s="498"/>
      <x:c r="C1894" s="498"/>
      <x:c r="D1894" s="498"/>
      <x:c r="E1894" s="498"/>
      <x:c r="F1894" s="498"/>
      <x:c r="G1894" s="498"/>
      <x:c r="H1894" s="498"/>
      <x:c r="I1894" s="498"/>
      <x:c r="J1894" s="498"/>
      <x:c r="K1894" s="498"/>
      <x:c r="L1894" s="498"/>
      <x:c r="M1894" s="498"/>
    </x:row>
    <x:row r="1895" ht="18" customHeight="1">
      <x:c r="A1895" s="498"/>
      <x:c r="B1895" s="498"/>
      <x:c r="C1895" s="498"/>
      <x:c r="D1895" s="498"/>
      <x:c r="E1895" s="498"/>
      <x:c r="F1895" s="498"/>
      <x:c r="G1895" s="498"/>
      <x:c r="H1895" s="498"/>
      <x:c r="I1895" s="498"/>
      <x:c r="J1895" s="498"/>
      <x:c r="K1895" s="498"/>
      <x:c r="L1895" s="498"/>
      <x:c r="M1895" s="498"/>
    </x:row>
    <x:row r="1896" ht="18" customHeight="1">
      <x:c r="A1896" s="498"/>
      <x:c r="B1896" s="498"/>
      <x:c r="C1896" s="498"/>
      <x:c r="D1896" s="498"/>
      <x:c r="E1896" s="498"/>
      <x:c r="F1896" s="498"/>
      <x:c r="G1896" s="498"/>
      <x:c r="H1896" s="498"/>
      <x:c r="I1896" s="498"/>
      <x:c r="J1896" s="498"/>
      <x:c r="K1896" s="498"/>
      <x:c r="L1896" s="498"/>
      <x:c r="M1896" s="498"/>
    </x:row>
    <x:row r="1897" ht="18" customHeight="1">
      <x:c r="A1897" s="498"/>
      <x:c r="B1897" s="498"/>
      <x:c r="C1897" s="498"/>
      <x:c r="D1897" s="498"/>
      <x:c r="E1897" s="498"/>
      <x:c r="F1897" s="498"/>
      <x:c r="G1897" s="498"/>
      <x:c r="H1897" s="498"/>
      <x:c r="I1897" s="498"/>
      <x:c r="J1897" s="498"/>
      <x:c r="K1897" s="498"/>
      <x:c r="L1897" s="498"/>
      <x:c r="M1897" s="498"/>
    </x:row>
    <x:row r="1898" ht="18" customHeight="1">
      <x:c r="A1898" s="498"/>
      <x:c r="B1898" s="498"/>
      <x:c r="C1898" s="498"/>
      <x:c r="D1898" s="498"/>
      <x:c r="E1898" s="498"/>
      <x:c r="F1898" s="498"/>
      <x:c r="G1898" s="498"/>
      <x:c r="H1898" s="498"/>
      <x:c r="I1898" s="498"/>
      <x:c r="J1898" s="498"/>
      <x:c r="K1898" s="498"/>
      <x:c r="L1898" s="498"/>
      <x:c r="M1898" s="498"/>
    </x:row>
    <x:row r="1899" ht="18" customHeight="1">
      <x:c r="A1899" s="498"/>
      <x:c r="B1899" s="498"/>
      <x:c r="C1899" s="498"/>
      <x:c r="D1899" s="498"/>
      <x:c r="E1899" s="498"/>
      <x:c r="F1899" s="498"/>
      <x:c r="G1899" s="498"/>
      <x:c r="H1899" s="498"/>
      <x:c r="I1899" s="498"/>
      <x:c r="J1899" s="498"/>
      <x:c r="K1899" s="498"/>
      <x:c r="L1899" s="498"/>
      <x:c r="M1899" s="498"/>
    </x:row>
    <x:row r="1900" ht="18" customHeight="1">
      <x:c r="A1900" s="498"/>
      <x:c r="B1900" s="498"/>
      <x:c r="C1900" s="498"/>
      <x:c r="D1900" s="498"/>
      <x:c r="E1900" s="498"/>
      <x:c r="F1900" s="498"/>
      <x:c r="G1900" s="498"/>
      <x:c r="H1900" s="498"/>
      <x:c r="I1900" s="498"/>
      <x:c r="J1900" s="498"/>
      <x:c r="K1900" s="498"/>
      <x:c r="L1900" s="498"/>
      <x:c r="M1900" s="498"/>
    </x:row>
    <x:row r="1901" ht="18" customHeight="1">
      <x:c r="A1901" s="498"/>
      <x:c r="B1901" s="498"/>
      <x:c r="C1901" s="498"/>
      <x:c r="D1901" s="498"/>
      <x:c r="E1901" s="498"/>
      <x:c r="F1901" s="498"/>
      <x:c r="G1901" s="498"/>
      <x:c r="H1901" s="498"/>
      <x:c r="I1901" s="498"/>
      <x:c r="J1901" s="498"/>
      <x:c r="K1901" s="498"/>
      <x:c r="L1901" s="498"/>
      <x:c r="M1901" s="498"/>
    </x:row>
    <x:row r="1902" ht="18" customHeight="1">
      <x:c r="A1902" s="498"/>
      <x:c r="B1902" s="498"/>
      <x:c r="C1902" s="498"/>
      <x:c r="D1902" s="498"/>
      <x:c r="E1902" s="498"/>
      <x:c r="F1902" s="498"/>
      <x:c r="G1902" s="498"/>
      <x:c r="H1902" s="498"/>
      <x:c r="I1902" s="498"/>
      <x:c r="J1902" s="498"/>
      <x:c r="K1902" s="498"/>
      <x:c r="L1902" s="498"/>
      <x:c r="M1902" s="498"/>
    </x:row>
    <x:row r="1903" ht="18" customHeight="1">
      <x:c r="A1903" s="498"/>
      <x:c r="B1903" s="498"/>
      <x:c r="C1903" s="498"/>
      <x:c r="D1903" s="498"/>
      <x:c r="E1903" s="498"/>
      <x:c r="F1903" s="498"/>
      <x:c r="G1903" s="498"/>
      <x:c r="H1903" s="498"/>
      <x:c r="I1903" s="498"/>
      <x:c r="J1903" s="498"/>
      <x:c r="K1903" s="498"/>
      <x:c r="L1903" s="498"/>
      <x:c r="M1903" s="498"/>
    </x:row>
    <x:row r="1904" ht="18" customHeight="1">
      <x:c r="A1904" s="498"/>
      <x:c r="B1904" s="498"/>
      <x:c r="C1904" s="498"/>
      <x:c r="D1904" s="498"/>
      <x:c r="E1904" s="498"/>
      <x:c r="F1904" s="498"/>
      <x:c r="G1904" s="498"/>
      <x:c r="H1904" s="498"/>
      <x:c r="I1904" s="498"/>
      <x:c r="J1904" s="498"/>
      <x:c r="K1904" s="498"/>
      <x:c r="L1904" s="498"/>
      <x:c r="M1904" s="498"/>
    </x:row>
    <x:row r="1905" ht="18" customHeight="1">
      <x:c r="A1905" s="498"/>
      <x:c r="B1905" s="498"/>
      <x:c r="C1905" s="498"/>
      <x:c r="D1905" s="498"/>
      <x:c r="E1905" s="498"/>
      <x:c r="F1905" s="498"/>
      <x:c r="G1905" s="498"/>
      <x:c r="H1905" s="498"/>
      <x:c r="I1905" s="498"/>
      <x:c r="J1905" s="498"/>
      <x:c r="K1905" s="498"/>
      <x:c r="L1905" s="498"/>
      <x:c r="M1905" s="498"/>
    </x:row>
    <x:row r="1906" ht="18" customHeight="1">
      <x:c r="A1906" s="498"/>
      <x:c r="B1906" s="498"/>
      <x:c r="C1906" s="498"/>
      <x:c r="D1906" s="498"/>
      <x:c r="E1906" s="498"/>
      <x:c r="F1906" s="498"/>
      <x:c r="G1906" s="498"/>
      <x:c r="H1906" s="498"/>
      <x:c r="I1906" s="498"/>
      <x:c r="J1906" s="498"/>
      <x:c r="K1906" s="498"/>
      <x:c r="L1906" s="498"/>
      <x:c r="M1906" s="498"/>
    </x:row>
    <x:row r="1907" ht="18" customHeight="1">
      <x:c r="A1907" s="498"/>
      <x:c r="B1907" s="498"/>
      <x:c r="C1907" s="498"/>
      <x:c r="D1907" s="498"/>
      <x:c r="E1907" s="498"/>
      <x:c r="F1907" s="498"/>
      <x:c r="G1907" s="498"/>
      <x:c r="H1907" s="498"/>
      <x:c r="I1907" s="498"/>
      <x:c r="J1907" s="498"/>
      <x:c r="K1907" s="498"/>
      <x:c r="L1907" s="498"/>
      <x:c r="M1907" s="498"/>
    </x:row>
    <x:row r="1908" ht="18" customHeight="1">
      <x:c r="A1908" s="498"/>
      <x:c r="B1908" s="498"/>
      <x:c r="C1908" s="498"/>
      <x:c r="D1908" s="498"/>
      <x:c r="E1908" s="498"/>
      <x:c r="F1908" s="498"/>
      <x:c r="G1908" s="498"/>
      <x:c r="H1908" s="498"/>
      <x:c r="I1908" s="498"/>
      <x:c r="J1908" s="498"/>
      <x:c r="K1908" s="498"/>
      <x:c r="L1908" s="498"/>
      <x:c r="M1908" s="498"/>
    </x:row>
    <x:row r="1909" ht="18" customHeight="1">
      <x:c r="A1909" s="498"/>
      <x:c r="B1909" s="498"/>
      <x:c r="C1909" s="498"/>
      <x:c r="D1909" s="498"/>
      <x:c r="E1909" s="498"/>
      <x:c r="F1909" s="498"/>
      <x:c r="G1909" s="498"/>
      <x:c r="H1909" s="498"/>
      <x:c r="I1909" s="498"/>
      <x:c r="J1909" s="498"/>
      <x:c r="K1909" s="498"/>
      <x:c r="L1909" s="498"/>
      <x:c r="M1909" s="498"/>
    </x:row>
    <x:row r="1910" ht="18" customHeight="1">
      <x:c r="A1910" s="498"/>
      <x:c r="B1910" s="498"/>
      <x:c r="C1910" s="498"/>
      <x:c r="D1910" s="498"/>
      <x:c r="E1910" s="498"/>
      <x:c r="F1910" s="498"/>
      <x:c r="G1910" s="498"/>
      <x:c r="H1910" s="498"/>
      <x:c r="I1910" s="498"/>
      <x:c r="J1910" s="498"/>
      <x:c r="K1910" s="498"/>
      <x:c r="L1910" s="498"/>
      <x:c r="M1910" s="498"/>
    </x:row>
    <x:row r="1911" ht="18" customHeight="1">
      <x:c r="A1911" s="498"/>
      <x:c r="B1911" s="498"/>
      <x:c r="C1911" s="498"/>
      <x:c r="D1911" s="498"/>
      <x:c r="E1911" s="498"/>
      <x:c r="F1911" s="498"/>
      <x:c r="G1911" s="498"/>
      <x:c r="H1911" s="498"/>
      <x:c r="I1911" s="498"/>
      <x:c r="J1911" s="498"/>
      <x:c r="K1911" s="498"/>
      <x:c r="L1911" s="498"/>
      <x:c r="M1911" s="498"/>
    </x:row>
    <x:row r="1912" ht="18" customHeight="1">
      <x:c r="A1912" s="498"/>
      <x:c r="B1912" s="498"/>
      <x:c r="C1912" s="498"/>
      <x:c r="D1912" s="498"/>
      <x:c r="E1912" s="498"/>
      <x:c r="F1912" s="498"/>
      <x:c r="G1912" s="498"/>
      <x:c r="H1912" s="498"/>
      <x:c r="I1912" s="498"/>
      <x:c r="J1912" s="498"/>
      <x:c r="K1912" s="498"/>
      <x:c r="L1912" s="498"/>
      <x:c r="M1912" s="498"/>
    </x:row>
    <x:row r="1913" ht="18" customHeight="1">
      <x:c r="A1913" s="498"/>
      <x:c r="B1913" s="498"/>
      <x:c r="C1913" s="498"/>
      <x:c r="D1913" s="498"/>
      <x:c r="E1913" s="498"/>
      <x:c r="F1913" s="498"/>
      <x:c r="G1913" s="498"/>
      <x:c r="H1913" s="498"/>
      <x:c r="I1913" s="498"/>
      <x:c r="J1913" s="498"/>
      <x:c r="K1913" s="498"/>
      <x:c r="L1913" s="498"/>
      <x:c r="M1913" s="498"/>
    </x:row>
    <x:row r="1914" ht="18" customHeight="1">
      <x:c r="A1914" s="498"/>
      <x:c r="B1914" s="498"/>
      <x:c r="C1914" s="498"/>
      <x:c r="D1914" s="498"/>
      <x:c r="E1914" s="498"/>
      <x:c r="F1914" s="498"/>
      <x:c r="G1914" s="498"/>
      <x:c r="H1914" s="498"/>
      <x:c r="I1914" s="498"/>
      <x:c r="J1914" s="498"/>
      <x:c r="K1914" s="498"/>
      <x:c r="L1914" s="498"/>
      <x:c r="M1914" s="498"/>
    </x:row>
    <x:row r="1915" ht="18" customHeight="1">
      <x:c r="A1915" s="498"/>
      <x:c r="B1915" s="498"/>
      <x:c r="C1915" s="498"/>
      <x:c r="D1915" s="498"/>
      <x:c r="E1915" s="498"/>
      <x:c r="F1915" s="498"/>
      <x:c r="G1915" s="498"/>
      <x:c r="H1915" s="498"/>
      <x:c r="I1915" s="498"/>
      <x:c r="J1915" s="498"/>
      <x:c r="K1915" s="498"/>
      <x:c r="L1915" s="498"/>
      <x:c r="M1915" s="498"/>
    </x:row>
    <x:row r="1916" ht="18" customHeight="1">
      <x:c r="A1916" s="498"/>
      <x:c r="B1916" s="498"/>
      <x:c r="C1916" s="498"/>
      <x:c r="D1916" s="498"/>
      <x:c r="E1916" s="498"/>
      <x:c r="F1916" s="498"/>
      <x:c r="G1916" s="498"/>
      <x:c r="H1916" s="498"/>
      <x:c r="I1916" s="498"/>
      <x:c r="J1916" s="498"/>
      <x:c r="K1916" s="498"/>
      <x:c r="L1916" s="498"/>
      <x:c r="M1916" s="498"/>
    </x:row>
    <x:row r="1917" ht="18" customHeight="1">
      <x:c r="A1917" s="498"/>
      <x:c r="B1917" s="498"/>
      <x:c r="C1917" s="498"/>
      <x:c r="D1917" s="498"/>
      <x:c r="E1917" s="498"/>
      <x:c r="F1917" s="498"/>
      <x:c r="G1917" s="498"/>
      <x:c r="H1917" s="498"/>
      <x:c r="I1917" s="498"/>
      <x:c r="J1917" s="498"/>
      <x:c r="K1917" s="498"/>
      <x:c r="L1917" s="498"/>
      <x:c r="M1917" s="498"/>
    </x:row>
    <x:row r="1918" ht="18" customHeight="1">
      <x:c r="A1918" s="498"/>
      <x:c r="B1918" s="498"/>
      <x:c r="C1918" s="498"/>
      <x:c r="D1918" s="498"/>
      <x:c r="E1918" s="498"/>
      <x:c r="F1918" s="498"/>
      <x:c r="G1918" s="498"/>
      <x:c r="H1918" s="498"/>
      <x:c r="I1918" s="498"/>
      <x:c r="J1918" s="498"/>
      <x:c r="K1918" s="498"/>
      <x:c r="L1918" s="498"/>
      <x:c r="M1918" s="498"/>
    </x:row>
    <x:row r="1919" ht="18" customHeight="1">
      <x:c r="A1919" s="498"/>
      <x:c r="B1919" s="498"/>
      <x:c r="C1919" s="498"/>
      <x:c r="D1919" s="498"/>
      <x:c r="E1919" s="498"/>
      <x:c r="F1919" s="498"/>
      <x:c r="G1919" s="498"/>
      <x:c r="H1919" s="498"/>
      <x:c r="I1919" s="498"/>
      <x:c r="J1919" s="498"/>
      <x:c r="K1919" s="498"/>
      <x:c r="L1919" s="498"/>
      <x:c r="M1919" s="498"/>
    </x:row>
    <x:row r="1920" ht="18" customHeight="1">
      <x:c r="A1920" s="498"/>
      <x:c r="B1920" s="498"/>
      <x:c r="C1920" s="498"/>
      <x:c r="D1920" s="498"/>
      <x:c r="E1920" s="498"/>
      <x:c r="F1920" s="498"/>
      <x:c r="G1920" s="498"/>
      <x:c r="H1920" s="498"/>
      <x:c r="I1920" s="498"/>
      <x:c r="J1920" s="498"/>
      <x:c r="K1920" s="498"/>
      <x:c r="L1920" s="498"/>
      <x:c r="M1920" s="498"/>
    </x:row>
    <x:row r="1921" ht="18" customHeight="1">
      <x:c r="A1921" s="498"/>
      <x:c r="B1921" s="498"/>
      <x:c r="C1921" s="498"/>
      <x:c r="D1921" s="498"/>
      <x:c r="E1921" s="498"/>
      <x:c r="F1921" s="498"/>
      <x:c r="G1921" s="498"/>
      <x:c r="H1921" s="498"/>
      <x:c r="I1921" s="498"/>
      <x:c r="J1921" s="498"/>
      <x:c r="K1921" s="498"/>
      <x:c r="L1921" s="498"/>
      <x:c r="M1921" s="498"/>
    </x:row>
    <x:row r="1922" ht="18" customHeight="1">
      <x:c r="A1922" s="498"/>
      <x:c r="B1922" s="498"/>
      <x:c r="C1922" s="498"/>
      <x:c r="D1922" s="498"/>
      <x:c r="E1922" s="498"/>
      <x:c r="F1922" s="498"/>
      <x:c r="G1922" s="498"/>
      <x:c r="H1922" s="498"/>
      <x:c r="I1922" s="498"/>
      <x:c r="J1922" s="498"/>
      <x:c r="K1922" s="498"/>
      <x:c r="L1922" s="498"/>
      <x:c r="M1922" s="498"/>
    </x:row>
    <x:row r="1923" ht="18" customHeight="1">
      <x:c r="A1923" s="498"/>
      <x:c r="B1923" s="498"/>
      <x:c r="C1923" s="498"/>
      <x:c r="D1923" s="498"/>
      <x:c r="E1923" s="498"/>
      <x:c r="F1923" s="498"/>
      <x:c r="G1923" s="498"/>
      <x:c r="H1923" s="498"/>
      <x:c r="I1923" s="498"/>
      <x:c r="J1923" s="498"/>
      <x:c r="K1923" s="498"/>
      <x:c r="L1923" s="498"/>
      <x:c r="M1923" s="498"/>
    </x:row>
    <x:row r="1924" ht="18" customHeight="1">
      <x:c r="A1924" s="498"/>
      <x:c r="B1924" s="498"/>
      <x:c r="C1924" s="498"/>
      <x:c r="D1924" s="498"/>
      <x:c r="E1924" s="498"/>
      <x:c r="F1924" s="498"/>
      <x:c r="G1924" s="498"/>
      <x:c r="H1924" s="498"/>
      <x:c r="I1924" s="498"/>
      <x:c r="J1924" s="498"/>
      <x:c r="K1924" s="498"/>
      <x:c r="L1924" s="498"/>
      <x:c r="M1924" s="498"/>
    </x:row>
    <x:row r="1925" ht="18" customHeight="1">
      <x:c r="A1925" s="498"/>
      <x:c r="B1925" s="498"/>
      <x:c r="C1925" s="498"/>
      <x:c r="D1925" s="498"/>
      <x:c r="E1925" s="498"/>
      <x:c r="F1925" s="498"/>
      <x:c r="G1925" s="498"/>
      <x:c r="H1925" s="498"/>
      <x:c r="I1925" s="498"/>
      <x:c r="J1925" s="498"/>
      <x:c r="K1925" s="498"/>
      <x:c r="L1925" s="498"/>
      <x:c r="M1925" s="498"/>
    </x:row>
    <x:row r="1926" ht="18" customHeight="1">
      <x:c r="A1926" s="498"/>
      <x:c r="B1926" s="498"/>
      <x:c r="C1926" s="498"/>
      <x:c r="D1926" s="498"/>
      <x:c r="E1926" s="498"/>
      <x:c r="F1926" s="498"/>
      <x:c r="G1926" s="498"/>
      <x:c r="H1926" s="498"/>
      <x:c r="I1926" s="498"/>
      <x:c r="J1926" s="498"/>
      <x:c r="K1926" s="498"/>
      <x:c r="L1926" s="498"/>
      <x:c r="M1926" s="498"/>
    </x:row>
    <x:row r="1927" ht="18" customHeight="1">
      <x:c r="A1927" s="498"/>
      <x:c r="B1927" s="498"/>
      <x:c r="C1927" s="498"/>
      <x:c r="D1927" s="498"/>
      <x:c r="E1927" s="498"/>
      <x:c r="F1927" s="498"/>
      <x:c r="G1927" s="498"/>
      <x:c r="H1927" s="498"/>
      <x:c r="I1927" s="498"/>
      <x:c r="J1927" s="498"/>
      <x:c r="K1927" s="498"/>
      <x:c r="L1927" s="498"/>
      <x:c r="M1927" s="498"/>
    </x:row>
    <x:row r="1928" ht="18" customHeight="1">
      <x:c r="A1928" s="498"/>
      <x:c r="B1928" s="498"/>
      <x:c r="C1928" s="498"/>
      <x:c r="D1928" s="498"/>
      <x:c r="E1928" s="498"/>
      <x:c r="F1928" s="498"/>
      <x:c r="G1928" s="498"/>
      <x:c r="H1928" s="498"/>
      <x:c r="I1928" s="498"/>
      <x:c r="J1928" s="498"/>
      <x:c r="K1928" s="498"/>
      <x:c r="L1928" s="498"/>
      <x:c r="M1928" s="498"/>
    </x:row>
    <x:row r="1929" ht="18" customHeight="1">
      <x:c r="A1929" s="498"/>
      <x:c r="B1929" s="498"/>
      <x:c r="C1929" s="498"/>
      <x:c r="D1929" s="498"/>
      <x:c r="E1929" s="498"/>
      <x:c r="F1929" s="498"/>
      <x:c r="G1929" s="498"/>
      <x:c r="H1929" s="498"/>
      <x:c r="I1929" s="498"/>
      <x:c r="J1929" s="498"/>
      <x:c r="K1929" s="498"/>
      <x:c r="L1929" s="498"/>
      <x:c r="M1929" s="498"/>
    </x:row>
    <x:row r="1930" ht="18" customHeight="1">
      <x:c r="A1930" s="498"/>
      <x:c r="B1930" s="498"/>
      <x:c r="C1930" s="498"/>
      <x:c r="D1930" s="498"/>
      <x:c r="E1930" s="498"/>
      <x:c r="F1930" s="498"/>
      <x:c r="G1930" s="498"/>
      <x:c r="H1930" s="498"/>
      <x:c r="I1930" s="498"/>
      <x:c r="J1930" s="498"/>
      <x:c r="K1930" s="498"/>
      <x:c r="L1930" s="498"/>
      <x:c r="M1930" s="498"/>
    </x:row>
    <x:row r="1931" ht="18" customHeight="1">
      <x:c r="A1931" s="498"/>
      <x:c r="B1931" s="498"/>
      <x:c r="C1931" s="498"/>
      <x:c r="D1931" s="498"/>
      <x:c r="E1931" s="498"/>
      <x:c r="F1931" s="498"/>
      <x:c r="G1931" s="498"/>
      <x:c r="H1931" s="498"/>
      <x:c r="I1931" s="498"/>
      <x:c r="J1931" s="498"/>
      <x:c r="K1931" s="498"/>
      <x:c r="L1931" s="498"/>
      <x:c r="M1931" s="498"/>
    </x:row>
    <x:row r="1932" ht="18" customHeight="1">
      <x:c r="A1932" s="498"/>
      <x:c r="B1932" s="498"/>
      <x:c r="C1932" s="498"/>
      <x:c r="D1932" s="498"/>
      <x:c r="E1932" s="498"/>
      <x:c r="F1932" s="498"/>
      <x:c r="G1932" s="498"/>
      <x:c r="H1932" s="498"/>
      <x:c r="I1932" s="498"/>
      <x:c r="J1932" s="498"/>
      <x:c r="K1932" s="498"/>
      <x:c r="L1932" s="498"/>
      <x:c r="M1932" s="498"/>
    </x:row>
    <x:row r="1933" ht="18" customHeight="1">
      <x:c r="A1933" s="498"/>
      <x:c r="B1933" s="498"/>
      <x:c r="C1933" s="498"/>
      <x:c r="D1933" s="498"/>
      <x:c r="E1933" s="498"/>
      <x:c r="F1933" s="498"/>
      <x:c r="G1933" s="498"/>
      <x:c r="H1933" s="498"/>
      <x:c r="I1933" s="498"/>
      <x:c r="J1933" s="498"/>
      <x:c r="K1933" s="498"/>
      <x:c r="L1933" s="498"/>
      <x:c r="M1933" s="498"/>
    </x:row>
    <x:row r="1934" ht="18" customHeight="1">
      <x:c r="A1934" s="498"/>
      <x:c r="B1934" s="498"/>
      <x:c r="C1934" s="498"/>
      <x:c r="D1934" s="498"/>
      <x:c r="E1934" s="498"/>
      <x:c r="F1934" s="498"/>
      <x:c r="G1934" s="498"/>
      <x:c r="H1934" s="498"/>
      <x:c r="I1934" s="498"/>
      <x:c r="J1934" s="498"/>
      <x:c r="K1934" s="498"/>
      <x:c r="L1934" s="498"/>
      <x:c r="M1934" s="498"/>
    </x:row>
    <x:row r="1935" ht="18" customHeight="1">
      <x:c r="A1935" s="498"/>
      <x:c r="B1935" s="498"/>
      <x:c r="C1935" s="498"/>
      <x:c r="D1935" s="498"/>
      <x:c r="E1935" s="498"/>
      <x:c r="F1935" s="498"/>
      <x:c r="G1935" s="498"/>
      <x:c r="H1935" s="498"/>
      <x:c r="I1935" s="498"/>
      <x:c r="J1935" s="498"/>
      <x:c r="K1935" s="498"/>
      <x:c r="L1935" s="498"/>
      <x:c r="M1935" s="498"/>
    </x:row>
    <x:row r="1936" ht="18" customHeight="1">
      <x:c r="A1936" s="498"/>
      <x:c r="B1936" s="498"/>
      <x:c r="C1936" s="498"/>
      <x:c r="D1936" s="498"/>
      <x:c r="E1936" s="498"/>
      <x:c r="F1936" s="498"/>
      <x:c r="G1936" s="498"/>
      <x:c r="H1936" s="498"/>
      <x:c r="I1936" s="498"/>
      <x:c r="J1936" s="498"/>
      <x:c r="K1936" s="498"/>
      <x:c r="L1936" s="498"/>
      <x:c r="M1936" s="498"/>
    </x:row>
    <x:row r="1937" ht="18" customHeight="1">
      <x:c r="A1937" s="498"/>
      <x:c r="B1937" s="498"/>
      <x:c r="C1937" s="498"/>
      <x:c r="D1937" s="498"/>
      <x:c r="E1937" s="498"/>
      <x:c r="F1937" s="498"/>
      <x:c r="G1937" s="498"/>
      <x:c r="H1937" s="498"/>
      <x:c r="I1937" s="498"/>
      <x:c r="J1937" s="498"/>
      <x:c r="K1937" s="498"/>
      <x:c r="L1937" s="498"/>
      <x:c r="M1937" s="498"/>
    </x:row>
    <x:row r="1938" ht="18" customHeight="1">
      <x:c r="A1938" s="498"/>
      <x:c r="B1938" s="498"/>
      <x:c r="C1938" s="498"/>
      <x:c r="D1938" s="498"/>
      <x:c r="E1938" s="498"/>
      <x:c r="F1938" s="498"/>
      <x:c r="G1938" s="498"/>
      <x:c r="H1938" s="498"/>
      <x:c r="I1938" s="498"/>
      <x:c r="J1938" s="498"/>
      <x:c r="K1938" s="498"/>
      <x:c r="L1938" s="498"/>
      <x:c r="M1938" s="498"/>
    </x:row>
    <x:row r="1939" ht="18" customHeight="1">
      <x:c r="A1939" s="498"/>
      <x:c r="B1939" s="498"/>
      <x:c r="C1939" s="498"/>
      <x:c r="D1939" s="498"/>
      <x:c r="E1939" s="498"/>
      <x:c r="F1939" s="498"/>
      <x:c r="G1939" s="498"/>
      <x:c r="H1939" s="498"/>
      <x:c r="I1939" s="498"/>
      <x:c r="J1939" s="498"/>
      <x:c r="K1939" s="498"/>
      <x:c r="L1939" s="498"/>
      <x:c r="M1939" s="498"/>
    </x:row>
    <x:row r="1940" ht="18" customHeight="1">
      <x:c r="A1940" s="498"/>
      <x:c r="B1940" s="498"/>
      <x:c r="C1940" s="498"/>
      <x:c r="D1940" s="498"/>
      <x:c r="E1940" s="498"/>
      <x:c r="F1940" s="498"/>
      <x:c r="G1940" s="498"/>
      <x:c r="H1940" s="498"/>
      <x:c r="I1940" s="498"/>
      <x:c r="J1940" s="498"/>
      <x:c r="K1940" s="498"/>
      <x:c r="L1940" s="498"/>
      <x:c r="M1940" s="498"/>
    </x:row>
    <x:row r="1941" ht="18" customHeight="1">
      <x:c r="A1941" s="498"/>
      <x:c r="B1941" s="498"/>
      <x:c r="C1941" s="498"/>
      <x:c r="D1941" s="498"/>
      <x:c r="E1941" s="498"/>
      <x:c r="F1941" s="498"/>
      <x:c r="G1941" s="498"/>
      <x:c r="H1941" s="498"/>
      <x:c r="I1941" s="498"/>
      <x:c r="J1941" s="498"/>
      <x:c r="K1941" s="498"/>
      <x:c r="L1941" s="498"/>
      <x:c r="M1941" s="498"/>
    </x:row>
    <x:row r="1942" ht="18" customHeight="1">
      <x:c r="A1942" s="498"/>
      <x:c r="B1942" s="498"/>
      <x:c r="C1942" s="498"/>
      <x:c r="D1942" s="498"/>
      <x:c r="E1942" s="498"/>
      <x:c r="F1942" s="498"/>
      <x:c r="G1942" s="498"/>
      <x:c r="H1942" s="498"/>
      <x:c r="I1942" s="498"/>
      <x:c r="J1942" s="498"/>
      <x:c r="K1942" s="498"/>
      <x:c r="L1942" s="498"/>
      <x:c r="M1942" s="498"/>
    </x:row>
    <x:row r="1943" ht="18" customHeight="1">
      <x:c r="A1943" s="498"/>
      <x:c r="B1943" s="498"/>
      <x:c r="C1943" s="498"/>
      <x:c r="D1943" s="498"/>
      <x:c r="E1943" s="498"/>
      <x:c r="F1943" s="498"/>
      <x:c r="G1943" s="498"/>
      <x:c r="H1943" s="498"/>
      <x:c r="I1943" s="498"/>
      <x:c r="J1943" s="498"/>
      <x:c r="K1943" s="498"/>
      <x:c r="L1943" s="498"/>
      <x:c r="M1943" s="498"/>
    </x:row>
    <x:row r="1944" ht="18" customHeight="1">
      <x:c r="A1944" s="498"/>
      <x:c r="B1944" s="498"/>
      <x:c r="C1944" s="498"/>
      <x:c r="D1944" s="498"/>
      <x:c r="E1944" s="498"/>
      <x:c r="F1944" s="498"/>
      <x:c r="G1944" s="498"/>
      <x:c r="H1944" s="498"/>
      <x:c r="I1944" s="498"/>
      <x:c r="J1944" s="498"/>
      <x:c r="K1944" s="498"/>
      <x:c r="L1944" s="498"/>
      <x:c r="M1944" s="498"/>
    </x:row>
    <x:row r="1945" ht="18" customHeight="1">
      <x:c r="A1945" s="498"/>
      <x:c r="B1945" s="498"/>
      <x:c r="C1945" s="498"/>
      <x:c r="D1945" s="498"/>
      <x:c r="E1945" s="498"/>
      <x:c r="F1945" s="498"/>
      <x:c r="G1945" s="498"/>
      <x:c r="H1945" s="498"/>
      <x:c r="I1945" s="498"/>
      <x:c r="J1945" s="498"/>
      <x:c r="K1945" s="498"/>
      <x:c r="L1945" s="498"/>
      <x:c r="M1945" s="498"/>
    </x:row>
    <x:row r="1946" ht="18" customHeight="1">
      <x:c r="A1946" s="498"/>
      <x:c r="B1946" s="498"/>
      <x:c r="C1946" s="498"/>
      <x:c r="D1946" s="498"/>
      <x:c r="E1946" s="498"/>
      <x:c r="F1946" s="498"/>
      <x:c r="G1946" s="498"/>
      <x:c r="H1946" s="498"/>
      <x:c r="I1946" s="498"/>
      <x:c r="J1946" s="498"/>
      <x:c r="K1946" s="498"/>
      <x:c r="L1946" s="498"/>
      <x:c r="M1946" s="498"/>
    </x:row>
    <x:row r="1947" ht="18" customHeight="1">
      <x:c r="A1947" s="498"/>
      <x:c r="B1947" s="498"/>
      <x:c r="C1947" s="498"/>
      <x:c r="D1947" s="498"/>
      <x:c r="E1947" s="498"/>
      <x:c r="F1947" s="498"/>
      <x:c r="G1947" s="498"/>
      <x:c r="H1947" s="498"/>
      <x:c r="I1947" s="498"/>
      <x:c r="J1947" s="498"/>
      <x:c r="K1947" s="498"/>
      <x:c r="L1947" s="498"/>
      <x:c r="M1947" s="498"/>
    </x:row>
    <x:row r="1948" ht="18" customHeight="1">
      <x:c r="A1948" s="498"/>
      <x:c r="B1948" s="498"/>
      <x:c r="C1948" s="498"/>
      <x:c r="D1948" s="498"/>
      <x:c r="E1948" s="498"/>
      <x:c r="F1948" s="498"/>
      <x:c r="G1948" s="498"/>
      <x:c r="H1948" s="498"/>
      <x:c r="I1948" s="498"/>
      <x:c r="J1948" s="498"/>
      <x:c r="K1948" s="498"/>
      <x:c r="L1948" s="498"/>
      <x:c r="M1948" s="498"/>
    </x:row>
    <x:row r="1949" ht="18" customHeight="1">
      <x:c r="A1949" s="498"/>
      <x:c r="B1949" s="498"/>
      <x:c r="C1949" s="498"/>
      <x:c r="D1949" s="498"/>
      <x:c r="E1949" s="498"/>
      <x:c r="F1949" s="498"/>
      <x:c r="G1949" s="498"/>
      <x:c r="H1949" s="498"/>
      <x:c r="I1949" s="498"/>
      <x:c r="J1949" s="498"/>
      <x:c r="K1949" s="498"/>
      <x:c r="L1949" s="498"/>
      <x:c r="M1949" s="498"/>
    </x:row>
    <x:row r="1950" ht="18" customHeight="1">
      <x:c r="A1950" s="498"/>
      <x:c r="B1950" s="498"/>
      <x:c r="C1950" s="498"/>
      <x:c r="D1950" s="498"/>
      <x:c r="E1950" s="498"/>
      <x:c r="F1950" s="498"/>
      <x:c r="G1950" s="498"/>
      <x:c r="H1950" s="498"/>
      <x:c r="I1950" s="498"/>
      <x:c r="J1950" s="498"/>
      <x:c r="K1950" s="498"/>
      <x:c r="L1950" s="498"/>
      <x:c r="M1950" s="498"/>
    </x:row>
    <x:row r="1951" ht="18" customHeight="1">
      <x:c r="A1951" s="498"/>
      <x:c r="B1951" s="498"/>
      <x:c r="C1951" s="498"/>
      <x:c r="D1951" s="498"/>
      <x:c r="E1951" s="498"/>
      <x:c r="F1951" s="498"/>
      <x:c r="G1951" s="498"/>
      <x:c r="H1951" s="498"/>
      <x:c r="I1951" s="498"/>
      <x:c r="J1951" s="498"/>
      <x:c r="K1951" s="498"/>
      <x:c r="L1951" s="498"/>
      <x:c r="M1951" s="498"/>
    </x:row>
    <x:row r="1952" ht="18" customHeight="1">
      <x:c r="A1952" s="498"/>
      <x:c r="B1952" s="498"/>
      <x:c r="C1952" s="498"/>
      <x:c r="D1952" s="498"/>
      <x:c r="E1952" s="498"/>
      <x:c r="F1952" s="498"/>
      <x:c r="G1952" s="498"/>
      <x:c r="H1952" s="498"/>
      <x:c r="I1952" s="498"/>
      <x:c r="J1952" s="498"/>
      <x:c r="K1952" s="498"/>
      <x:c r="L1952" s="498"/>
      <x:c r="M1952" s="498"/>
    </x:row>
    <x:row r="1953" ht="18" customHeight="1">
      <x:c r="A1953" s="498"/>
      <x:c r="B1953" s="498"/>
      <x:c r="C1953" s="498"/>
      <x:c r="D1953" s="498"/>
      <x:c r="E1953" s="498"/>
      <x:c r="F1953" s="498"/>
      <x:c r="G1953" s="498"/>
      <x:c r="H1953" s="498"/>
      <x:c r="I1953" s="498"/>
      <x:c r="J1953" s="498"/>
      <x:c r="K1953" s="498"/>
      <x:c r="L1953" s="498"/>
      <x:c r="M1953" s="498"/>
    </x:row>
    <x:row r="1954" ht="18" customHeight="1">
      <x:c r="A1954" s="498"/>
      <x:c r="B1954" s="498"/>
      <x:c r="C1954" s="498"/>
      <x:c r="D1954" s="498"/>
      <x:c r="E1954" s="498"/>
      <x:c r="F1954" s="498"/>
      <x:c r="G1954" s="498"/>
      <x:c r="H1954" s="498"/>
      <x:c r="I1954" s="498"/>
      <x:c r="J1954" s="498"/>
      <x:c r="K1954" s="498"/>
      <x:c r="L1954" s="498"/>
      <x:c r="M1954" s="498"/>
    </x:row>
    <x:row r="1955" ht="18" customHeight="1">
      <x:c r="A1955" s="498"/>
      <x:c r="B1955" s="498"/>
      <x:c r="C1955" s="498"/>
      <x:c r="D1955" s="498"/>
      <x:c r="E1955" s="498"/>
      <x:c r="F1955" s="498"/>
      <x:c r="G1955" s="498"/>
      <x:c r="H1955" s="498"/>
      <x:c r="I1955" s="498"/>
      <x:c r="J1955" s="498"/>
      <x:c r="K1955" s="498"/>
      <x:c r="L1955" s="498"/>
      <x:c r="M1955" s="498"/>
    </x:row>
    <x:row r="1956" ht="18" customHeight="1">
      <x:c r="A1956" s="498"/>
      <x:c r="B1956" s="498"/>
      <x:c r="C1956" s="498"/>
      <x:c r="D1956" s="498"/>
      <x:c r="E1956" s="498"/>
      <x:c r="F1956" s="498"/>
      <x:c r="G1956" s="498"/>
      <x:c r="H1956" s="498"/>
      <x:c r="I1956" s="498"/>
      <x:c r="J1956" s="498"/>
      <x:c r="K1956" s="498"/>
      <x:c r="L1956" s="498"/>
      <x:c r="M1956" s="498"/>
    </x:row>
    <x:row r="1957" ht="18" customHeight="1">
      <x:c r="A1957" s="498"/>
      <x:c r="B1957" s="498"/>
      <x:c r="C1957" s="498"/>
      <x:c r="D1957" s="498"/>
      <x:c r="E1957" s="498"/>
      <x:c r="F1957" s="498"/>
      <x:c r="G1957" s="498"/>
      <x:c r="H1957" s="498"/>
      <x:c r="I1957" s="498"/>
      <x:c r="J1957" s="498"/>
      <x:c r="K1957" s="498"/>
      <x:c r="L1957" s="498"/>
      <x:c r="M1957" s="498"/>
    </x:row>
    <x:row r="1958" ht="18" customHeight="1">
      <x:c r="A1958" s="498"/>
      <x:c r="B1958" s="498"/>
      <x:c r="C1958" s="498"/>
      <x:c r="D1958" s="498"/>
      <x:c r="E1958" s="498"/>
      <x:c r="F1958" s="498"/>
      <x:c r="G1958" s="498"/>
      <x:c r="H1958" s="498"/>
      <x:c r="I1958" s="498"/>
      <x:c r="J1958" s="498"/>
      <x:c r="K1958" s="498"/>
      <x:c r="L1958" s="498"/>
      <x:c r="M1958" s="498"/>
    </x:row>
    <x:row r="1959" ht="18" customHeight="1">
      <x:c r="A1959" s="498"/>
      <x:c r="B1959" s="498"/>
      <x:c r="C1959" s="498"/>
      <x:c r="D1959" s="498"/>
      <x:c r="E1959" s="498"/>
      <x:c r="F1959" s="498"/>
      <x:c r="G1959" s="498"/>
      <x:c r="H1959" s="498"/>
      <x:c r="I1959" s="498"/>
      <x:c r="J1959" s="498"/>
      <x:c r="K1959" s="498"/>
      <x:c r="L1959" s="498"/>
      <x:c r="M1959" s="498"/>
    </x:row>
    <x:row r="1960" ht="18" customHeight="1">
      <x:c r="A1960" s="498"/>
      <x:c r="B1960" s="498"/>
      <x:c r="C1960" s="498"/>
      <x:c r="D1960" s="498"/>
      <x:c r="E1960" s="498"/>
      <x:c r="F1960" s="498"/>
      <x:c r="G1960" s="498"/>
      <x:c r="H1960" s="498"/>
      <x:c r="I1960" s="498"/>
      <x:c r="J1960" s="498"/>
      <x:c r="K1960" s="498"/>
      <x:c r="L1960" s="498"/>
      <x:c r="M1960" s="498"/>
    </x:row>
    <x:row r="1961" ht="18" customHeight="1">
      <x:c r="A1961" s="498"/>
      <x:c r="B1961" s="498"/>
      <x:c r="C1961" s="498"/>
      <x:c r="D1961" s="498"/>
      <x:c r="E1961" s="498"/>
      <x:c r="F1961" s="498"/>
      <x:c r="G1961" s="498"/>
      <x:c r="H1961" s="498"/>
      <x:c r="I1961" s="498"/>
      <x:c r="J1961" s="498"/>
      <x:c r="K1961" s="498"/>
      <x:c r="L1961" s="498"/>
      <x:c r="M1961" s="498"/>
    </x:row>
    <x:row r="1962" ht="18" customHeight="1">
      <x:c r="A1962" s="498"/>
      <x:c r="B1962" s="498"/>
      <x:c r="C1962" s="498"/>
      <x:c r="D1962" s="498"/>
      <x:c r="E1962" s="498"/>
      <x:c r="F1962" s="498"/>
      <x:c r="G1962" s="498"/>
      <x:c r="H1962" s="498"/>
      <x:c r="I1962" s="498"/>
      <x:c r="J1962" s="498"/>
      <x:c r="K1962" s="498"/>
      <x:c r="L1962" s="498"/>
      <x:c r="M1962" s="498"/>
    </x:row>
    <x:row r="1963" ht="18" customHeight="1">
      <x:c r="A1963" s="498"/>
      <x:c r="B1963" s="498"/>
      <x:c r="C1963" s="498"/>
      <x:c r="D1963" s="498"/>
      <x:c r="E1963" s="498"/>
      <x:c r="F1963" s="498"/>
      <x:c r="G1963" s="498"/>
      <x:c r="H1963" s="498"/>
      <x:c r="I1963" s="498"/>
      <x:c r="J1963" s="498"/>
      <x:c r="K1963" s="498"/>
      <x:c r="L1963" s="498"/>
      <x:c r="M1963" s="498"/>
    </x:row>
    <x:row r="1964" ht="18" customHeight="1">
      <x:c r="A1964" s="498"/>
      <x:c r="B1964" s="498"/>
      <x:c r="C1964" s="498"/>
      <x:c r="D1964" s="498"/>
      <x:c r="E1964" s="498"/>
      <x:c r="F1964" s="498"/>
      <x:c r="G1964" s="498"/>
      <x:c r="H1964" s="498"/>
      <x:c r="I1964" s="498"/>
      <x:c r="J1964" s="498"/>
      <x:c r="K1964" s="498"/>
      <x:c r="L1964" s="498"/>
      <x:c r="M1964" s="498"/>
    </x:row>
    <x:row r="1965" ht="18" customHeight="1">
      <x:c r="A1965" s="498"/>
      <x:c r="B1965" s="498"/>
      <x:c r="C1965" s="498"/>
      <x:c r="D1965" s="498"/>
      <x:c r="E1965" s="498"/>
      <x:c r="F1965" s="498"/>
      <x:c r="G1965" s="498"/>
      <x:c r="H1965" s="498"/>
      <x:c r="I1965" s="498"/>
      <x:c r="J1965" s="498"/>
      <x:c r="K1965" s="498"/>
      <x:c r="L1965" s="498"/>
      <x:c r="M1965" s="498"/>
    </x:row>
    <x:row r="1966" ht="18" customHeight="1">
      <x:c r="A1966" s="498"/>
      <x:c r="B1966" s="498"/>
      <x:c r="C1966" s="498"/>
      <x:c r="D1966" s="498"/>
      <x:c r="E1966" s="498"/>
      <x:c r="F1966" s="498"/>
      <x:c r="G1966" s="498"/>
      <x:c r="H1966" s="498"/>
      <x:c r="I1966" s="498"/>
      <x:c r="J1966" s="498"/>
      <x:c r="K1966" s="498"/>
      <x:c r="L1966" s="498"/>
      <x:c r="M1966" s="498"/>
    </x:row>
    <x:row r="1967" ht="18" customHeight="1">
      <x:c r="A1967" s="498"/>
      <x:c r="B1967" s="498"/>
      <x:c r="C1967" s="498"/>
      <x:c r="D1967" s="498"/>
      <x:c r="E1967" s="498"/>
      <x:c r="F1967" s="498"/>
      <x:c r="G1967" s="498"/>
      <x:c r="H1967" s="498"/>
      <x:c r="I1967" s="498"/>
      <x:c r="J1967" s="498"/>
      <x:c r="K1967" s="498"/>
      <x:c r="L1967" s="498"/>
      <x:c r="M1967" s="498"/>
    </x:row>
    <x:row r="1968" ht="18" customHeight="1">
      <x:c r="A1968" s="498"/>
      <x:c r="B1968" s="498"/>
      <x:c r="C1968" s="498"/>
      <x:c r="D1968" s="498"/>
      <x:c r="E1968" s="498"/>
      <x:c r="F1968" s="498"/>
      <x:c r="G1968" s="498"/>
      <x:c r="H1968" s="498"/>
      <x:c r="I1968" s="498"/>
      <x:c r="J1968" s="498"/>
      <x:c r="K1968" s="498"/>
      <x:c r="L1968" s="498"/>
      <x:c r="M1968" s="498"/>
    </x:row>
    <x:row r="1969" ht="18" customHeight="1">
      <x:c r="A1969" s="498"/>
      <x:c r="B1969" s="498"/>
      <x:c r="C1969" s="498"/>
      <x:c r="D1969" s="498"/>
      <x:c r="E1969" s="498"/>
      <x:c r="F1969" s="498"/>
      <x:c r="G1969" s="498"/>
      <x:c r="H1969" s="498"/>
      <x:c r="I1969" s="498"/>
      <x:c r="J1969" s="498"/>
      <x:c r="K1969" s="498"/>
      <x:c r="L1969" s="498"/>
      <x:c r="M1969" s="498"/>
    </x:row>
    <x:row r="1970" ht="18" customHeight="1">
      <x:c r="A1970" s="498"/>
      <x:c r="B1970" s="498"/>
      <x:c r="C1970" s="498"/>
      <x:c r="D1970" s="498"/>
      <x:c r="E1970" s="498"/>
      <x:c r="F1970" s="498"/>
      <x:c r="G1970" s="498"/>
      <x:c r="H1970" s="498"/>
      <x:c r="I1970" s="498"/>
      <x:c r="J1970" s="498"/>
      <x:c r="K1970" s="498"/>
      <x:c r="L1970" s="498"/>
      <x:c r="M1970" s="498"/>
    </x:row>
    <x:row r="1971" ht="18" customHeight="1">
      <x:c r="A1971" s="498"/>
      <x:c r="B1971" s="498"/>
      <x:c r="C1971" s="498"/>
      <x:c r="D1971" s="498"/>
      <x:c r="E1971" s="498"/>
      <x:c r="F1971" s="498"/>
      <x:c r="G1971" s="498"/>
      <x:c r="H1971" s="498"/>
      <x:c r="I1971" s="498"/>
      <x:c r="J1971" s="498"/>
      <x:c r="K1971" s="498"/>
      <x:c r="L1971" s="498"/>
      <x:c r="M1971" s="498"/>
    </x:row>
    <x:row r="1972" ht="18" customHeight="1">
      <x:c r="A1972" s="498"/>
      <x:c r="B1972" s="498"/>
      <x:c r="C1972" s="498"/>
      <x:c r="D1972" s="498"/>
      <x:c r="E1972" s="498"/>
      <x:c r="F1972" s="498"/>
      <x:c r="G1972" s="498"/>
      <x:c r="H1972" s="498"/>
      <x:c r="I1972" s="498"/>
      <x:c r="J1972" s="498"/>
      <x:c r="K1972" s="498"/>
      <x:c r="L1972" s="498"/>
      <x:c r="M1972" s="498"/>
    </x:row>
    <x:row r="1973" ht="18" customHeight="1">
      <x:c r="A1973" s="498"/>
      <x:c r="B1973" s="498"/>
      <x:c r="C1973" s="498"/>
      <x:c r="D1973" s="498"/>
      <x:c r="E1973" s="498"/>
      <x:c r="F1973" s="498"/>
      <x:c r="G1973" s="498"/>
      <x:c r="H1973" s="498"/>
      <x:c r="I1973" s="498"/>
      <x:c r="J1973" s="498"/>
      <x:c r="K1973" s="498"/>
      <x:c r="L1973" s="498"/>
      <x:c r="M1973" s="498"/>
    </x:row>
    <x:row r="1974" ht="18" customHeight="1">
      <x:c r="A1974" s="498"/>
      <x:c r="B1974" s="498"/>
      <x:c r="C1974" s="498"/>
      <x:c r="D1974" s="498"/>
      <x:c r="E1974" s="498"/>
      <x:c r="F1974" s="498"/>
      <x:c r="G1974" s="498"/>
      <x:c r="H1974" s="498"/>
      <x:c r="I1974" s="498"/>
      <x:c r="J1974" s="498"/>
      <x:c r="K1974" s="498"/>
      <x:c r="L1974" s="498"/>
      <x:c r="M1974" s="498"/>
    </x:row>
    <x:row r="1975" ht="18" customHeight="1">
      <x:c r="A1975" s="498"/>
      <x:c r="B1975" s="498"/>
      <x:c r="C1975" s="498"/>
      <x:c r="D1975" s="498"/>
      <x:c r="E1975" s="498"/>
      <x:c r="F1975" s="498"/>
      <x:c r="G1975" s="498"/>
      <x:c r="H1975" s="498"/>
      <x:c r="I1975" s="498"/>
      <x:c r="J1975" s="498"/>
      <x:c r="K1975" s="498"/>
      <x:c r="L1975" s="498"/>
      <x:c r="M1975" s="498"/>
    </x:row>
    <x:row r="1976" ht="18" customHeight="1">
      <x:c r="A1976" s="498"/>
      <x:c r="B1976" s="498"/>
      <x:c r="C1976" s="498"/>
      <x:c r="D1976" s="498"/>
      <x:c r="E1976" s="498"/>
      <x:c r="F1976" s="498"/>
      <x:c r="G1976" s="498"/>
      <x:c r="H1976" s="498"/>
      <x:c r="I1976" s="498"/>
      <x:c r="J1976" s="498"/>
      <x:c r="K1976" s="498"/>
      <x:c r="L1976" s="498"/>
      <x:c r="M1976" s="498"/>
    </x:row>
    <x:row r="1977" ht="18" customHeight="1">
      <x:c r="A1977" s="498"/>
      <x:c r="B1977" s="498"/>
      <x:c r="C1977" s="498"/>
      <x:c r="D1977" s="498"/>
      <x:c r="E1977" s="498"/>
      <x:c r="F1977" s="498"/>
      <x:c r="G1977" s="498"/>
      <x:c r="H1977" s="498"/>
      <x:c r="I1977" s="498"/>
      <x:c r="J1977" s="498"/>
      <x:c r="K1977" s="498"/>
      <x:c r="L1977" s="498"/>
      <x:c r="M1977" s="498"/>
    </x:row>
    <x:row r="1978" ht="18" customHeight="1">
      <x:c r="A1978" s="498"/>
      <x:c r="B1978" s="498"/>
      <x:c r="C1978" s="498"/>
      <x:c r="D1978" s="498"/>
      <x:c r="E1978" s="498"/>
      <x:c r="F1978" s="498"/>
      <x:c r="G1978" s="498"/>
      <x:c r="H1978" s="498"/>
      <x:c r="I1978" s="498"/>
      <x:c r="J1978" s="498"/>
      <x:c r="K1978" s="498"/>
      <x:c r="L1978" s="498"/>
      <x:c r="M1978" s="498"/>
    </x:row>
    <x:row r="1979" ht="18" customHeight="1">
      <x:c r="A1979" s="498"/>
      <x:c r="B1979" s="498"/>
      <x:c r="C1979" s="498"/>
      <x:c r="D1979" s="498"/>
      <x:c r="E1979" s="498"/>
      <x:c r="F1979" s="498"/>
      <x:c r="G1979" s="498"/>
      <x:c r="H1979" s="498"/>
      <x:c r="I1979" s="498"/>
      <x:c r="J1979" s="498"/>
      <x:c r="K1979" s="498"/>
      <x:c r="L1979" s="498"/>
      <x:c r="M1979" s="498"/>
    </x:row>
    <x:row r="1980" ht="18" customHeight="1">
      <x:c r="A1980" s="498"/>
      <x:c r="B1980" s="498"/>
      <x:c r="C1980" s="498"/>
      <x:c r="D1980" s="498"/>
      <x:c r="E1980" s="498"/>
      <x:c r="F1980" s="498"/>
      <x:c r="G1980" s="498"/>
      <x:c r="H1980" s="498"/>
      <x:c r="I1980" s="498"/>
      <x:c r="J1980" s="498"/>
      <x:c r="K1980" s="498"/>
      <x:c r="L1980" s="498"/>
      <x:c r="M1980" s="498"/>
    </x:row>
    <x:row r="1981" ht="18" customHeight="1">
      <x:c r="A1981" s="498"/>
      <x:c r="B1981" s="498"/>
      <x:c r="C1981" s="498"/>
      <x:c r="D1981" s="498"/>
      <x:c r="E1981" s="498"/>
      <x:c r="F1981" s="498"/>
      <x:c r="G1981" s="498"/>
      <x:c r="H1981" s="498"/>
      <x:c r="I1981" s="498"/>
      <x:c r="J1981" s="498"/>
      <x:c r="K1981" s="498"/>
      <x:c r="L1981" s="498"/>
      <x:c r="M1981" s="498"/>
    </x:row>
    <x:row r="1982" ht="18" customHeight="1">
      <x:c r="A1982" s="498"/>
      <x:c r="B1982" s="498"/>
      <x:c r="C1982" s="498"/>
      <x:c r="D1982" s="498"/>
      <x:c r="E1982" s="498"/>
      <x:c r="F1982" s="498"/>
      <x:c r="G1982" s="498"/>
      <x:c r="H1982" s="498"/>
      <x:c r="I1982" s="498"/>
      <x:c r="J1982" s="498"/>
      <x:c r="K1982" s="498"/>
      <x:c r="L1982" s="498"/>
      <x:c r="M1982" s="498"/>
    </x:row>
    <x:row r="1983" ht="18" customHeight="1">
      <x:c r="A1983" s="498"/>
      <x:c r="B1983" s="498"/>
      <x:c r="C1983" s="498"/>
      <x:c r="D1983" s="498"/>
      <x:c r="E1983" s="498"/>
      <x:c r="F1983" s="498"/>
      <x:c r="G1983" s="498"/>
      <x:c r="H1983" s="498"/>
      <x:c r="I1983" s="498"/>
      <x:c r="J1983" s="498"/>
      <x:c r="K1983" s="498"/>
      <x:c r="L1983" s="498"/>
      <x:c r="M1983" s="498"/>
    </x:row>
    <x:row r="1984" ht="18" customHeight="1">
      <x:c r="A1984" s="498"/>
      <x:c r="B1984" s="498"/>
      <x:c r="C1984" s="498"/>
      <x:c r="D1984" s="498"/>
      <x:c r="E1984" s="498"/>
      <x:c r="F1984" s="498"/>
      <x:c r="G1984" s="498"/>
      <x:c r="H1984" s="498"/>
      <x:c r="I1984" s="498"/>
      <x:c r="J1984" s="498"/>
      <x:c r="K1984" s="498"/>
      <x:c r="L1984" s="498"/>
      <x:c r="M1984" s="498"/>
    </x:row>
    <x:row r="1985" ht="18" customHeight="1">
      <x:c r="A1985" s="498"/>
      <x:c r="B1985" s="498"/>
      <x:c r="C1985" s="498"/>
      <x:c r="D1985" s="498"/>
      <x:c r="E1985" s="498"/>
      <x:c r="F1985" s="498"/>
      <x:c r="G1985" s="498"/>
      <x:c r="H1985" s="498"/>
      <x:c r="I1985" s="498"/>
      <x:c r="J1985" s="498"/>
      <x:c r="K1985" s="498"/>
      <x:c r="L1985" s="498"/>
      <x:c r="M1985" s="498"/>
    </x:row>
    <x:row r="1986" ht="18" customHeight="1">
      <x:c r="A1986" s="498"/>
      <x:c r="B1986" s="498"/>
      <x:c r="C1986" s="498"/>
      <x:c r="D1986" s="498"/>
      <x:c r="E1986" s="498"/>
      <x:c r="F1986" s="498"/>
      <x:c r="G1986" s="498"/>
      <x:c r="H1986" s="498"/>
      <x:c r="I1986" s="498"/>
      <x:c r="J1986" s="498"/>
      <x:c r="K1986" s="498"/>
      <x:c r="L1986" s="498"/>
      <x:c r="M1986" s="498"/>
    </x:row>
    <x:row r="1987" ht="18" customHeight="1">
      <x:c r="A1987" s="498"/>
      <x:c r="B1987" s="498"/>
      <x:c r="C1987" s="498"/>
      <x:c r="D1987" s="498"/>
      <x:c r="E1987" s="498"/>
      <x:c r="F1987" s="498"/>
      <x:c r="G1987" s="498"/>
      <x:c r="H1987" s="498"/>
      <x:c r="I1987" s="498"/>
      <x:c r="J1987" s="498"/>
      <x:c r="K1987" s="498"/>
      <x:c r="L1987" s="498"/>
      <x:c r="M1987" s="498"/>
    </x:row>
    <x:row r="1988" ht="18" customHeight="1">
      <x:c r="A1988" s="498"/>
      <x:c r="B1988" s="498"/>
      <x:c r="C1988" s="498"/>
      <x:c r="D1988" s="498"/>
      <x:c r="E1988" s="498"/>
      <x:c r="F1988" s="498"/>
      <x:c r="G1988" s="498"/>
      <x:c r="H1988" s="498"/>
      <x:c r="I1988" s="498"/>
      <x:c r="J1988" s="498"/>
      <x:c r="K1988" s="498"/>
      <x:c r="L1988" s="498"/>
      <x:c r="M1988" s="498"/>
    </x:row>
    <x:row r="1989" ht="18" customHeight="1">
      <x:c r="A1989" s="498"/>
      <x:c r="B1989" s="498"/>
      <x:c r="C1989" s="498"/>
      <x:c r="D1989" s="498"/>
      <x:c r="E1989" s="498"/>
      <x:c r="F1989" s="498"/>
      <x:c r="G1989" s="498"/>
      <x:c r="H1989" s="498"/>
      <x:c r="I1989" s="498"/>
      <x:c r="J1989" s="498"/>
      <x:c r="K1989" s="498"/>
      <x:c r="L1989" s="498"/>
      <x:c r="M1989" s="498"/>
    </x:row>
    <x:row r="1990" ht="18" customHeight="1">
      <x:c r="A1990" s="498"/>
      <x:c r="B1990" s="498"/>
      <x:c r="C1990" s="498"/>
      <x:c r="D1990" s="498"/>
      <x:c r="E1990" s="498"/>
      <x:c r="F1990" s="498"/>
      <x:c r="G1990" s="498"/>
      <x:c r="H1990" s="498"/>
      <x:c r="I1990" s="498"/>
      <x:c r="J1990" s="498"/>
      <x:c r="K1990" s="498"/>
      <x:c r="L1990" s="498"/>
      <x:c r="M1990" s="498"/>
    </x:row>
    <x:row r="1991" ht="18" customHeight="1">
      <x:c r="A1991" s="498"/>
      <x:c r="B1991" s="498"/>
      <x:c r="C1991" s="498"/>
      <x:c r="D1991" s="498"/>
      <x:c r="E1991" s="498"/>
      <x:c r="F1991" s="498"/>
      <x:c r="G1991" s="498"/>
      <x:c r="H1991" s="498"/>
      <x:c r="I1991" s="498"/>
      <x:c r="J1991" s="498"/>
      <x:c r="K1991" s="498"/>
      <x:c r="L1991" s="498"/>
      <x:c r="M1991" s="498"/>
    </x:row>
    <x:row r="1992" ht="18" customHeight="1">
      <x:c r="A1992" s="498"/>
      <x:c r="B1992" s="498"/>
      <x:c r="C1992" s="498"/>
      <x:c r="D1992" s="498"/>
      <x:c r="E1992" s="498"/>
      <x:c r="F1992" s="498"/>
      <x:c r="G1992" s="498"/>
      <x:c r="H1992" s="498"/>
      <x:c r="I1992" s="498"/>
      <x:c r="J1992" s="498"/>
      <x:c r="K1992" s="498"/>
      <x:c r="L1992" s="498"/>
      <x:c r="M1992" s="498"/>
    </x:row>
    <x:row r="1993" ht="18" customHeight="1">
      <x:c r="A1993" s="498"/>
      <x:c r="B1993" s="498"/>
      <x:c r="C1993" s="498"/>
      <x:c r="D1993" s="498"/>
      <x:c r="E1993" s="498"/>
      <x:c r="F1993" s="498"/>
      <x:c r="G1993" s="498"/>
      <x:c r="H1993" s="498"/>
      <x:c r="I1993" s="498"/>
      <x:c r="J1993" s="498"/>
      <x:c r="K1993" s="498"/>
      <x:c r="L1993" s="498"/>
      <x:c r="M1993" s="498"/>
    </x:row>
    <x:row r="1994" ht="18" customHeight="1">
      <x:c r="A1994" s="498"/>
      <x:c r="B1994" s="498"/>
      <x:c r="C1994" s="498"/>
      <x:c r="D1994" s="498"/>
      <x:c r="E1994" s="498"/>
      <x:c r="F1994" s="498"/>
      <x:c r="G1994" s="498"/>
      <x:c r="H1994" s="498"/>
      <x:c r="I1994" s="498"/>
      <x:c r="J1994" s="498"/>
      <x:c r="K1994" s="498"/>
      <x:c r="L1994" s="498"/>
      <x:c r="M1994" s="498"/>
    </x:row>
    <x:row r="1995" ht="18" customHeight="1">
      <x:c r="A1995" s="498"/>
      <x:c r="B1995" s="498"/>
      <x:c r="C1995" s="498"/>
      <x:c r="D1995" s="498"/>
      <x:c r="E1995" s="498"/>
      <x:c r="F1995" s="498"/>
      <x:c r="G1995" s="498"/>
      <x:c r="H1995" s="498"/>
      <x:c r="I1995" s="498"/>
      <x:c r="J1995" s="498"/>
      <x:c r="K1995" s="498"/>
      <x:c r="L1995" s="498"/>
      <x:c r="M1995" s="498"/>
    </x:row>
    <x:row r="1996" ht="18" customHeight="1">
      <x:c r="A1996" s="498"/>
      <x:c r="B1996" s="498"/>
      <x:c r="C1996" s="498"/>
      <x:c r="D1996" s="498"/>
      <x:c r="E1996" s="498"/>
      <x:c r="F1996" s="498"/>
      <x:c r="G1996" s="498"/>
      <x:c r="H1996" s="498"/>
      <x:c r="I1996" s="498"/>
      <x:c r="J1996" s="498"/>
      <x:c r="K1996" s="498"/>
      <x:c r="L1996" s="498"/>
      <x:c r="M1996" s="498"/>
    </x:row>
    <x:row r="1997" ht="18" customHeight="1">
      <x:c r="A1997" s="498"/>
      <x:c r="B1997" s="498"/>
      <x:c r="C1997" s="498"/>
      <x:c r="D1997" s="498"/>
      <x:c r="E1997" s="498"/>
      <x:c r="F1997" s="498"/>
      <x:c r="G1997" s="498"/>
      <x:c r="H1997" s="498"/>
      <x:c r="I1997" s="498"/>
      <x:c r="J1997" s="498"/>
      <x:c r="K1997" s="498"/>
      <x:c r="L1997" s="498"/>
      <x:c r="M1997" s="498"/>
    </x:row>
    <x:row r="1998" ht="18" customHeight="1">
      <x:c r="A1998" s="498"/>
      <x:c r="B1998" s="498"/>
      <x:c r="C1998" s="498"/>
      <x:c r="D1998" s="498"/>
      <x:c r="E1998" s="498"/>
      <x:c r="F1998" s="498"/>
      <x:c r="G1998" s="498"/>
      <x:c r="H1998" s="498"/>
      <x:c r="I1998" s="498"/>
      <x:c r="J1998" s="498"/>
      <x:c r="K1998" s="498"/>
      <x:c r="L1998" s="498"/>
      <x:c r="M1998" s="498"/>
    </x:row>
    <x:row r="1999" ht="18" customHeight="1">
      <x:c r="A1999" s="498"/>
      <x:c r="B1999" s="498"/>
      <x:c r="C1999" s="498"/>
      <x:c r="D1999" s="498"/>
      <x:c r="E1999" s="498"/>
      <x:c r="F1999" s="498"/>
      <x:c r="G1999" s="498"/>
      <x:c r="H1999" s="498"/>
      <x:c r="I1999" s="498"/>
      <x:c r="J1999" s="498"/>
      <x:c r="K1999" s="498"/>
      <x:c r="L1999" s="498"/>
      <x:c r="M1999" s="498"/>
    </x:row>
    <x:row r="2000" ht="18" customHeight="1">
      <x:c r="A2000" s="498"/>
      <x:c r="B2000" s="498"/>
      <x:c r="C2000" s="498"/>
      <x:c r="D2000" s="498"/>
      <x:c r="E2000" s="498"/>
      <x:c r="F2000" s="498"/>
      <x:c r="G2000" s="498"/>
      <x:c r="H2000" s="498"/>
      <x:c r="I2000" s="498"/>
      <x:c r="J2000" s="498"/>
      <x:c r="K2000" s="498"/>
      <x:c r="L2000" s="498"/>
      <x:c r="M2000" s="498"/>
    </x:row>
    <x:row r="2001" ht="18" customHeight="1">
      <x:c r="A2001" s="498"/>
      <x:c r="B2001" s="498"/>
      <x:c r="C2001" s="498"/>
      <x:c r="D2001" s="498"/>
      <x:c r="E2001" s="498"/>
      <x:c r="F2001" s="498"/>
      <x:c r="G2001" s="498"/>
      <x:c r="H2001" s="498"/>
      <x:c r="I2001" s="498"/>
      <x:c r="J2001" s="498"/>
      <x:c r="K2001" s="498"/>
      <x:c r="L2001" s="498"/>
      <x:c r="M2001" s="498"/>
    </x:row>
    <x:row r="2002" ht="18" customHeight="1">
      <x:c r="A2002" s="498"/>
      <x:c r="B2002" s="498"/>
      <x:c r="C2002" s="498"/>
      <x:c r="D2002" s="498"/>
      <x:c r="E2002" s="498"/>
      <x:c r="F2002" s="498"/>
      <x:c r="G2002" s="498"/>
      <x:c r="H2002" s="498"/>
      <x:c r="I2002" s="498"/>
      <x:c r="J2002" s="498"/>
      <x:c r="K2002" s="498"/>
      <x:c r="L2002" s="498"/>
      <x:c r="M2002" s="498"/>
    </x:row>
    <x:row r="2003" ht="18" customHeight="1">
      <x:c r="A2003" s="498"/>
      <x:c r="B2003" s="498"/>
      <x:c r="C2003" s="498"/>
      <x:c r="D2003" s="498"/>
      <x:c r="E2003" s="498"/>
      <x:c r="F2003" s="498"/>
      <x:c r="G2003" s="498"/>
      <x:c r="H2003" s="498"/>
      <x:c r="I2003" s="498"/>
      <x:c r="J2003" s="498"/>
      <x:c r="K2003" s="498"/>
      <x:c r="L2003" s="498"/>
      <x:c r="M2003" s="498"/>
    </x:row>
    <x:row r="2004" ht="18" customHeight="1">
      <x:c r="A2004" s="498"/>
      <x:c r="B2004" s="498"/>
      <x:c r="C2004" s="498"/>
      <x:c r="D2004" s="498"/>
      <x:c r="E2004" s="498"/>
      <x:c r="F2004" s="498"/>
      <x:c r="G2004" s="498"/>
      <x:c r="H2004" s="498"/>
      <x:c r="I2004" s="498"/>
      <x:c r="J2004" s="498"/>
      <x:c r="K2004" s="498"/>
      <x:c r="L2004" s="498"/>
      <x:c r="M2004" s="498"/>
    </x:row>
    <x:row r="2005" ht="18" customHeight="1">
      <x:c r="A2005" s="498"/>
      <x:c r="B2005" s="498"/>
      <x:c r="C2005" s="498"/>
      <x:c r="D2005" s="498"/>
      <x:c r="E2005" s="498"/>
      <x:c r="F2005" s="498"/>
      <x:c r="G2005" s="498"/>
      <x:c r="H2005" s="498"/>
      <x:c r="I2005" s="498"/>
      <x:c r="J2005" s="498"/>
      <x:c r="K2005" s="498"/>
      <x:c r="L2005" s="498"/>
      <x:c r="M2005" s="498"/>
    </x:row>
    <x:row r="2006" ht="18" customHeight="1">
      <x:c r="A2006" s="498"/>
      <x:c r="B2006" s="498"/>
      <x:c r="C2006" s="498"/>
      <x:c r="D2006" s="498"/>
      <x:c r="E2006" s="498"/>
      <x:c r="F2006" s="498"/>
      <x:c r="G2006" s="498"/>
      <x:c r="H2006" s="498"/>
      <x:c r="I2006" s="498"/>
      <x:c r="J2006" s="498"/>
      <x:c r="K2006" s="498"/>
      <x:c r="L2006" s="498"/>
      <x:c r="M2006" s="498"/>
    </x:row>
    <x:row r="2007" ht="18" customHeight="1">
      <x:c r="A2007" s="498"/>
      <x:c r="B2007" s="498"/>
      <x:c r="C2007" s="498"/>
      <x:c r="D2007" s="498"/>
      <x:c r="E2007" s="498"/>
      <x:c r="F2007" s="498"/>
      <x:c r="G2007" s="498"/>
      <x:c r="H2007" s="498"/>
      <x:c r="I2007" s="498"/>
      <x:c r="J2007" s="498"/>
      <x:c r="K2007" s="498"/>
      <x:c r="L2007" s="498"/>
      <x:c r="M2007" s="498"/>
    </x:row>
    <x:row r="2008" ht="18" customHeight="1">
      <x:c r="A2008" s="498"/>
      <x:c r="B2008" s="498"/>
      <x:c r="C2008" s="498"/>
      <x:c r="D2008" s="498"/>
      <x:c r="E2008" s="498"/>
      <x:c r="F2008" s="498"/>
      <x:c r="G2008" s="498"/>
      <x:c r="H2008" s="498"/>
      <x:c r="I2008" s="498"/>
      <x:c r="J2008" s="498"/>
      <x:c r="K2008" s="498"/>
      <x:c r="L2008" s="498"/>
      <x:c r="M2008" s="498"/>
    </x:row>
    <x:row r="2009" ht="18" customHeight="1">
      <x:c r="A2009" s="498"/>
      <x:c r="B2009" s="498"/>
      <x:c r="C2009" s="498"/>
      <x:c r="D2009" s="498"/>
      <x:c r="E2009" s="498"/>
      <x:c r="F2009" s="498"/>
      <x:c r="G2009" s="498"/>
      <x:c r="H2009" s="498"/>
      <x:c r="I2009" s="498"/>
      <x:c r="J2009" s="498"/>
      <x:c r="K2009" s="498"/>
      <x:c r="L2009" s="498"/>
      <x:c r="M2009" s="498"/>
    </x:row>
    <x:row r="2010" ht="18" customHeight="1">
      <x:c r="A2010" s="498"/>
      <x:c r="B2010" s="498"/>
      <x:c r="C2010" s="498"/>
      <x:c r="D2010" s="498"/>
      <x:c r="E2010" s="498"/>
      <x:c r="F2010" s="498"/>
      <x:c r="G2010" s="498"/>
      <x:c r="H2010" s="498"/>
      <x:c r="I2010" s="498"/>
      <x:c r="J2010" s="498"/>
      <x:c r="K2010" s="498"/>
      <x:c r="L2010" s="498"/>
      <x:c r="M2010" s="498"/>
    </x:row>
    <x:row r="2011" ht="18" customHeight="1">
      <x:c r="A2011" s="498"/>
      <x:c r="B2011" s="498"/>
      <x:c r="C2011" s="498"/>
      <x:c r="D2011" s="498"/>
      <x:c r="E2011" s="498"/>
      <x:c r="F2011" s="498"/>
      <x:c r="G2011" s="498"/>
      <x:c r="H2011" s="498"/>
      <x:c r="I2011" s="498"/>
      <x:c r="J2011" s="498"/>
      <x:c r="K2011" s="498"/>
      <x:c r="L2011" s="498"/>
      <x:c r="M2011" s="498"/>
    </x:row>
    <x:row r="2012" ht="18" customHeight="1">
      <x:c r="A2012" s="498"/>
      <x:c r="B2012" s="498"/>
      <x:c r="C2012" s="498"/>
      <x:c r="D2012" s="498"/>
      <x:c r="E2012" s="498"/>
      <x:c r="F2012" s="498"/>
      <x:c r="G2012" s="498"/>
      <x:c r="H2012" s="498"/>
      <x:c r="I2012" s="498"/>
      <x:c r="J2012" s="498"/>
      <x:c r="K2012" s="498"/>
      <x:c r="L2012" s="498"/>
      <x:c r="M2012" s="498"/>
    </x:row>
    <x:row r="2013" ht="18" customHeight="1">
      <x:c r="A2013" s="498"/>
      <x:c r="B2013" s="498"/>
      <x:c r="C2013" s="498"/>
      <x:c r="D2013" s="498"/>
      <x:c r="E2013" s="498"/>
      <x:c r="F2013" s="498"/>
      <x:c r="G2013" s="498"/>
      <x:c r="H2013" s="498"/>
      <x:c r="I2013" s="498"/>
      <x:c r="J2013" s="498"/>
      <x:c r="K2013" s="498"/>
      <x:c r="L2013" s="498"/>
      <x:c r="M2013" s="498"/>
    </x:row>
    <x:row r="2014" ht="18" customHeight="1">
      <x:c r="A2014" s="498"/>
      <x:c r="B2014" s="498"/>
      <x:c r="C2014" s="498"/>
      <x:c r="D2014" s="498"/>
      <x:c r="E2014" s="498"/>
      <x:c r="F2014" s="498"/>
      <x:c r="G2014" s="498"/>
      <x:c r="H2014" s="498"/>
      <x:c r="I2014" s="498"/>
      <x:c r="J2014" s="498"/>
      <x:c r="K2014" s="498"/>
      <x:c r="L2014" s="498"/>
      <x:c r="M2014" s="498"/>
    </x:row>
    <x:row r="2015" ht="18" customHeight="1">
      <x:c r="A2015" s="498"/>
      <x:c r="B2015" s="498"/>
      <x:c r="C2015" s="498"/>
      <x:c r="D2015" s="498"/>
      <x:c r="E2015" s="498"/>
      <x:c r="F2015" s="498"/>
      <x:c r="G2015" s="498"/>
      <x:c r="H2015" s="498"/>
      <x:c r="I2015" s="498"/>
      <x:c r="J2015" s="498"/>
      <x:c r="K2015" s="498"/>
      <x:c r="L2015" s="498"/>
      <x:c r="M2015" s="498"/>
    </x:row>
    <x:row r="2016" ht="18" customHeight="1">
      <x:c r="A2016" s="498"/>
      <x:c r="B2016" s="498"/>
      <x:c r="C2016" s="498"/>
      <x:c r="D2016" s="498"/>
      <x:c r="E2016" s="498"/>
      <x:c r="F2016" s="498"/>
      <x:c r="G2016" s="498"/>
      <x:c r="H2016" s="498"/>
      <x:c r="I2016" s="498"/>
      <x:c r="J2016" s="498"/>
      <x:c r="K2016" s="498"/>
      <x:c r="L2016" s="498"/>
      <x:c r="M2016" s="498"/>
    </x:row>
    <x:row r="2017" ht="18" customHeight="1">
      <x:c r="A2017" s="498"/>
      <x:c r="B2017" s="498"/>
      <x:c r="C2017" s="498"/>
      <x:c r="D2017" s="498"/>
      <x:c r="E2017" s="498"/>
      <x:c r="F2017" s="498"/>
      <x:c r="G2017" s="498"/>
      <x:c r="H2017" s="498"/>
      <x:c r="I2017" s="498"/>
      <x:c r="J2017" s="498"/>
      <x:c r="K2017" s="498"/>
      <x:c r="L2017" s="498"/>
      <x:c r="M2017" s="498"/>
    </x:row>
    <x:row r="2018" ht="18" customHeight="1">
      <x:c r="A2018" s="498"/>
      <x:c r="B2018" s="498"/>
      <x:c r="C2018" s="498"/>
      <x:c r="D2018" s="498"/>
      <x:c r="E2018" s="498"/>
      <x:c r="F2018" s="498"/>
      <x:c r="G2018" s="498"/>
      <x:c r="H2018" s="498"/>
      <x:c r="I2018" s="498"/>
      <x:c r="J2018" s="498"/>
      <x:c r="K2018" s="498"/>
      <x:c r="L2018" s="498"/>
      <x:c r="M2018" s="498"/>
    </x:row>
    <x:row r="2019" ht="18" customHeight="1">
      <x:c r="A2019" s="498"/>
      <x:c r="B2019" s="498"/>
      <x:c r="C2019" s="498"/>
      <x:c r="D2019" s="498"/>
      <x:c r="E2019" s="498"/>
      <x:c r="F2019" s="498"/>
      <x:c r="G2019" s="498"/>
      <x:c r="H2019" s="498"/>
      <x:c r="I2019" s="498"/>
      <x:c r="J2019" s="498"/>
      <x:c r="K2019" s="498"/>
      <x:c r="L2019" s="498"/>
      <x:c r="M2019" s="498"/>
    </x:row>
    <x:row r="2020" ht="18" customHeight="1">
      <x:c r="A2020" s="498"/>
      <x:c r="B2020" s="498"/>
      <x:c r="C2020" s="498"/>
      <x:c r="D2020" s="498"/>
      <x:c r="E2020" s="498"/>
      <x:c r="F2020" s="498"/>
      <x:c r="G2020" s="498"/>
      <x:c r="H2020" s="498"/>
      <x:c r="I2020" s="498"/>
      <x:c r="J2020" s="498"/>
      <x:c r="K2020" s="498"/>
      <x:c r="L2020" s="498"/>
      <x:c r="M2020" s="498"/>
    </x:row>
    <x:row r="2021" ht="18" customHeight="1">
      <x:c r="A2021" s="498"/>
      <x:c r="B2021" s="498"/>
      <x:c r="C2021" s="498"/>
      <x:c r="D2021" s="498"/>
      <x:c r="E2021" s="498"/>
      <x:c r="F2021" s="498"/>
      <x:c r="G2021" s="498"/>
      <x:c r="H2021" s="498"/>
      <x:c r="I2021" s="498"/>
      <x:c r="J2021" s="498"/>
      <x:c r="K2021" s="498"/>
      <x:c r="L2021" s="498"/>
      <x:c r="M2021" s="498"/>
    </x:row>
    <x:row r="2022" ht="18" customHeight="1">
      <x:c r="A2022" s="498"/>
      <x:c r="B2022" s="498"/>
      <x:c r="C2022" s="498"/>
      <x:c r="D2022" s="498"/>
      <x:c r="E2022" s="498"/>
      <x:c r="F2022" s="498"/>
      <x:c r="G2022" s="498"/>
      <x:c r="H2022" s="498"/>
      <x:c r="I2022" s="498"/>
      <x:c r="J2022" s="498"/>
      <x:c r="K2022" s="498"/>
      <x:c r="L2022" s="498"/>
      <x:c r="M2022" s="498"/>
    </x:row>
    <x:row r="2023" ht="18" customHeight="1">
      <x:c r="A2023" s="498"/>
      <x:c r="B2023" s="498"/>
      <x:c r="C2023" s="498"/>
      <x:c r="D2023" s="498"/>
      <x:c r="E2023" s="498"/>
      <x:c r="F2023" s="498"/>
      <x:c r="G2023" s="498"/>
      <x:c r="H2023" s="498"/>
      <x:c r="I2023" s="498"/>
      <x:c r="J2023" s="498"/>
      <x:c r="K2023" s="498"/>
      <x:c r="L2023" s="498"/>
      <x:c r="M2023" s="498"/>
    </x:row>
    <x:row r="2024" ht="18" customHeight="1">
      <x:c r="A2024" s="498"/>
      <x:c r="B2024" s="498"/>
      <x:c r="C2024" s="498"/>
      <x:c r="D2024" s="498"/>
      <x:c r="E2024" s="498"/>
      <x:c r="F2024" s="498"/>
      <x:c r="G2024" s="498"/>
      <x:c r="H2024" s="498"/>
      <x:c r="I2024" s="498"/>
      <x:c r="J2024" s="498"/>
      <x:c r="K2024" s="498"/>
      <x:c r="L2024" s="498"/>
      <x:c r="M2024" s="498"/>
    </x:row>
    <x:row r="2025" ht="18" customHeight="1">
      <x:c r="A2025" s="498"/>
      <x:c r="B2025" s="498"/>
      <x:c r="C2025" s="498"/>
      <x:c r="D2025" s="498"/>
      <x:c r="E2025" s="498"/>
      <x:c r="F2025" s="498"/>
      <x:c r="G2025" s="498"/>
      <x:c r="H2025" s="498"/>
      <x:c r="I2025" s="498"/>
      <x:c r="J2025" s="498"/>
      <x:c r="K2025" s="498"/>
      <x:c r="L2025" s="498"/>
      <x:c r="M2025" s="498"/>
    </x:row>
    <x:row r="2026" ht="18" customHeight="1">
      <x:c r="A2026" s="498"/>
      <x:c r="B2026" s="498"/>
      <x:c r="C2026" s="498"/>
      <x:c r="D2026" s="498"/>
      <x:c r="E2026" s="498"/>
      <x:c r="F2026" s="498"/>
      <x:c r="G2026" s="498"/>
      <x:c r="H2026" s="498"/>
      <x:c r="I2026" s="498"/>
      <x:c r="J2026" s="498"/>
      <x:c r="K2026" s="498"/>
      <x:c r="L2026" s="498"/>
      <x:c r="M2026" s="498"/>
    </x:row>
    <x:row r="2027" ht="18" customHeight="1">
      <x:c r="A2027" s="498"/>
      <x:c r="B2027" s="498"/>
      <x:c r="C2027" s="498"/>
      <x:c r="D2027" s="498"/>
      <x:c r="E2027" s="498"/>
      <x:c r="F2027" s="498"/>
      <x:c r="G2027" s="498"/>
      <x:c r="H2027" s="498"/>
      <x:c r="I2027" s="498"/>
      <x:c r="J2027" s="498"/>
      <x:c r="K2027" s="498"/>
      <x:c r="L2027" s="498"/>
      <x:c r="M2027" s="498"/>
    </x:row>
    <x:row r="2028" ht="18" customHeight="1">
      <x:c r="A2028" s="498"/>
      <x:c r="B2028" s="498"/>
      <x:c r="C2028" s="498"/>
      <x:c r="D2028" s="498"/>
      <x:c r="E2028" s="498"/>
      <x:c r="F2028" s="498"/>
      <x:c r="G2028" s="498"/>
      <x:c r="H2028" s="498"/>
      <x:c r="I2028" s="498"/>
      <x:c r="J2028" s="498"/>
      <x:c r="K2028" s="498"/>
      <x:c r="L2028" s="498"/>
      <x:c r="M2028" s="498"/>
    </x:row>
    <x:row r="2029" ht="18" customHeight="1">
      <x:c r="A2029" s="498"/>
      <x:c r="B2029" s="498"/>
      <x:c r="C2029" s="498"/>
      <x:c r="D2029" s="498"/>
      <x:c r="E2029" s="498"/>
      <x:c r="F2029" s="498"/>
      <x:c r="G2029" s="498"/>
      <x:c r="H2029" s="498"/>
      <x:c r="I2029" s="498"/>
      <x:c r="J2029" s="498"/>
      <x:c r="K2029" s="498"/>
      <x:c r="L2029" s="498"/>
      <x:c r="M2029" s="498"/>
    </x:row>
    <x:row r="2030" ht="18" customHeight="1">
      <x:c r="A2030" s="498"/>
      <x:c r="B2030" s="498"/>
      <x:c r="C2030" s="498"/>
      <x:c r="D2030" s="498"/>
      <x:c r="E2030" s="498"/>
      <x:c r="F2030" s="498"/>
      <x:c r="G2030" s="498"/>
      <x:c r="H2030" s="498"/>
      <x:c r="I2030" s="498"/>
      <x:c r="J2030" s="498"/>
      <x:c r="K2030" s="498"/>
      <x:c r="L2030" s="498"/>
      <x:c r="M2030" s="498"/>
    </x:row>
    <x:row r="2031" ht="18" customHeight="1">
      <x:c r="A2031" s="498"/>
      <x:c r="B2031" s="498"/>
      <x:c r="C2031" s="498"/>
      <x:c r="D2031" s="498"/>
      <x:c r="E2031" s="498"/>
      <x:c r="F2031" s="498"/>
      <x:c r="G2031" s="498"/>
      <x:c r="H2031" s="498"/>
      <x:c r="I2031" s="498"/>
      <x:c r="J2031" s="498"/>
      <x:c r="K2031" s="498"/>
      <x:c r="L2031" s="498"/>
      <x:c r="M2031" s="498"/>
    </x:row>
    <x:row r="2032" ht="18" customHeight="1">
      <x:c r="A2032" s="498"/>
      <x:c r="B2032" s="498"/>
      <x:c r="C2032" s="498"/>
      <x:c r="D2032" s="498"/>
      <x:c r="E2032" s="498"/>
      <x:c r="F2032" s="498"/>
      <x:c r="G2032" s="498"/>
      <x:c r="H2032" s="498"/>
      <x:c r="I2032" s="498"/>
      <x:c r="J2032" s="498"/>
      <x:c r="K2032" s="498"/>
      <x:c r="L2032" s="498"/>
      <x:c r="M2032" s="498"/>
    </x:row>
    <x:row r="2033" ht="18" customHeight="1">
      <x:c r="A2033" s="498"/>
      <x:c r="B2033" s="498"/>
      <x:c r="C2033" s="498"/>
      <x:c r="D2033" s="498"/>
      <x:c r="E2033" s="498"/>
      <x:c r="F2033" s="498"/>
      <x:c r="G2033" s="498"/>
      <x:c r="H2033" s="498"/>
      <x:c r="I2033" s="498"/>
      <x:c r="J2033" s="498"/>
      <x:c r="K2033" s="498"/>
      <x:c r="L2033" s="498"/>
      <x:c r="M2033" s="498"/>
    </x:row>
    <x:row r="2034" ht="18" customHeight="1">
      <x:c r="A2034" s="498"/>
      <x:c r="B2034" s="498"/>
      <x:c r="C2034" s="498"/>
      <x:c r="D2034" s="498"/>
      <x:c r="E2034" s="498"/>
      <x:c r="F2034" s="498"/>
      <x:c r="G2034" s="498"/>
      <x:c r="H2034" s="498"/>
      <x:c r="I2034" s="498"/>
      <x:c r="J2034" s="498"/>
      <x:c r="K2034" s="498"/>
      <x:c r="L2034" s="498"/>
      <x:c r="M2034" s="498"/>
    </x:row>
    <x:row r="2035" ht="18" customHeight="1">
      <x:c r="A2035" s="498"/>
      <x:c r="B2035" s="498"/>
      <x:c r="C2035" s="498"/>
      <x:c r="D2035" s="498"/>
      <x:c r="E2035" s="498"/>
      <x:c r="F2035" s="498"/>
      <x:c r="G2035" s="498"/>
      <x:c r="H2035" s="498"/>
      <x:c r="I2035" s="498"/>
      <x:c r="J2035" s="498"/>
      <x:c r="K2035" s="498"/>
      <x:c r="L2035" s="498"/>
      <x:c r="M2035" s="498"/>
    </x:row>
    <x:row r="2036" ht="18" customHeight="1">
      <x:c r="A2036" s="498"/>
      <x:c r="B2036" s="498"/>
      <x:c r="C2036" s="498"/>
      <x:c r="D2036" s="498"/>
      <x:c r="E2036" s="498"/>
      <x:c r="F2036" s="498"/>
      <x:c r="G2036" s="498"/>
      <x:c r="H2036" s="498"/>
      <x:c r="I2036" s="498"/>
      <x:c r="J2036" s="498"/>
      <x:c r="K2036" s="498"/>
      <x:c r="L2036" s="498"/>
      <x:c r="M2036" s="498"/>
    </x:row>
    <x:row r="2037" ht="18" customHeight="1">
      <x:c r="A2037" s="498"/>
      <x:c r="B2037" s="498"/>
      <x:c r="C2037" s="498"/>
      <x:c r="D2037" s="498"/>
      <x:c r="E2037" s="498"/>
      <x:c r="F2037" s="498"/>
      <x:c r="G2037" s="498"/>
      <x:c r="H2037" s="498"/>
      <x:c r="I2037" s="498"/>
      <x:c r="J2037" s="498"/>
      <x:c r="K2037" s="498"/>
      <x:c r="L2037" s="498"/>
      <x:c r="M2037" s="498"/>
    </x:row>
    <x:row r="2038" ht="18" customHeight="1">
      <x:c r="A2038" s="498"/>
      <x:c r="B2038" s="498"/>
      <x:c r="C2038" s="498"/>
      <x:c r="D2038" s="498"/>
      <x:c r="E2038" s="498"/>
      <x:c r="F2038" s="498"/>
      <x:c r="G2038" s="498"/>
      <x:c r="H2038" s="498"/>
      <x:c r="I2038" s="498"/>
      <x:c r="J2038" s="498"/>
      <x:c r="K2038" s="498"/>
      <x:c r="L2038" s="498"/>
      <x:c r="M2038" s="498"/>
    </x:row>
    <x:row r="2039" ht="18" customHeight="1">
      <x:c r="A2039" s="498"/>
      <x:c r="B2039" s="498"/>
      <x:c r="C2039" s="498"/>
      <x:c r="D2039" s="498"/>
      <x:c r="E2039" s="498"/>
      <x:c r="F2039" s="498"/>
      <x:c r="G2039" s="498"/>
      <x:c r="H2039" s="498"/>
      <x:c r="I2039" s="498"/>
      <x:c r="J2039" s="498"/>
      <x:c r="K2039" s="498"/>
      <x:c r="L2039" s="498"/>
      <x:c r="M2039" s="498"/>
    </x:row>
    <x:row r="2040" ht="18" customHeight="1">
      <x:c r="A2040" s="498"/>
      <x:c r="B2040" s="498"/>
      <x:c r="C2040" s="498"/>
      <x:c r="D2040" s="498"/>
      <x:c r="E2040" s="498"/>
      <x:c r="F2040" s="498"/>
      <x:c r="G2040" s="498"/>
      <x:c r="H2040" s="498"/>
      <x:c r="I2040" s="498"/>
      <x:c r="J2040" s="498"/>
      <x:c r="K2040" s="498"/>
      <x:c r="L2040" s="498"/>
      <x:c r="M2040" s="498"/>
    </x:row>
    <x:row r="2041" ht="18" customHeight="1">
      <x:c r="A2041" s="498"/>
      <x:c r="B2041" s="498"/>
      <x:c r="C2041" s="498"/>
      <x:c r="D2041" s="498"/>
      <x:c r="E2041" s="498"/>
      <x:c r="F2041" s="498"/>
      <x:c r="G2041" s="498"/>
      <x:c r="H2041" s="498"/>
      <x:c r="I2041" s="498"/>
      <x:c r="J2041" s="498"/>
      <x:c r="K2041" s="498"/>
      <x:c r="L2041" s="498"/>
      <x:c r="M2041" s="498"/>
    </x:row>
    <x:row r="2042" ht="18" customHeight="1">
      <x:c r="A2042" s="498"/>
      <x:c r="B2042" s="498"/>
      <x:c r="C2042" s="498"/>
      <x:c r="D2042" s="498"/>
      <x:c r="E2042" s="498"/>
      <x:c r="F2042" s="498"/>
      <x:c r="G2042" s="498"/>
      <x:c r="H2042" s="498"/>
      <x:c r="I2042" s="498"/>
      <x:c r="J2042" s="498"/>
      <x:c r="K2042" s="498"/>
      <x:c r="L2042" s="498"/>
      <x:c r="M2042" s="498"/>
    </x:row>
    <x:row r="2043" ht="18" customHeight="1">
      <x:c r="A2043" s="498"/>
      <x:c r="B2043" s="498"/>
      <x:c r="C2043" s="498"/>
      <x:c r="D2043" s="498"/>
      <x:c r="E2043" s="498"/>
      <x:c r="F2043" s="498"/>
      <x:c r="G2043" s="498"/>
      <x:c r="H2043" s="498"/>
      <x:c r="I2043" s="498"/>
      <x:c r="J2043" s="498"/>
      <x:c r="K2043" s="498"/>
      <x:c r="L2043" s="498"/>
      <x:c r="M2043" s="498"/>
    </x:row>
    <x:row r="2044" ht="18" customHeight="1">
      <x:c r="A2044" s="498"/>
      <x:c r="B2044" s="498"/>
      <x:c r="C2044" s="498"/>
      <x:c r="D2044" s="498"/>
      <x:c r="E2044" s="498"/>
      <x:c r="F2044" s="498"/>
      <x:c r="G2044" s="498"/>
      <x:c r="H2044" s="498"/>
      <x:c r="I2044" s="498"/>
      <x:c r="J2044" s="498"/>
      <x:c r="K2044" s="498"/>
      <x:c r="L2044" s="498"/>
      <x:c r="M2044" s="498"/>
    </x:row>
    <x:row r="2045" ht="18" customHeight="1">
      <x:c r="A2045" s="498"/>
      <x:c r="B2045" s="498"/>
      <x:c r="C2045" s="498"/>
      <x:c r="D2045" s="498"/>
      <x:c r="E2045" s="498"/>
      <x:c r="F2045" s="498"/>
      <x:c r="G2045" s="498"/>
      <x:c r="H2045" s="498"/>
      <x:c r="I2045" s="498"/>
      <x:c r="J2045" s="498"/>
      <x:c r="K2045" s="498"/>
      <x:c r="L2045" s="498"/>
      <x:c r="M2045" s="498"/>
    </x:row>
    <x:row r="2046" ht="18" customHeight="1">
      <x:c r="A2046" s="498"/>
      <x:c r="B2046" s="498"/>
      <x:c r="C2046" s="498"/>
      <x:c r="D2046" s="498"/>
      <x:c r="E2046" s="498"/>
      <x:c r="F2046" s="498"/>
      <x:c r="G2046" s="498"/>
      <x:c r="H2046" s="498"/>
      <x:c r="I2046" s="498"/>
      <x:c r="J2046" s="498"/>
      <x:c r="K2046" s="498"/>
      <x:c r="L2046" s="498"/>
      <x:c r="M2046" s="498"/>
    </x:row>
    <x:row r="2047" ht="18" customHeight="1">
      <x:c r="A2047" s="498"/>
      <x:c r="B2047" s="498"/>
      <x:c r="C2047" s="498"/>
      <x:c r="D2047" s="498"/>
      <x:c r="E2047" s="498"/>
      <x:c r="F2047" s="498"/>
      <x:c r="G2047" s="498"/>
      <x:c r="H2047" s="498"/>
      <x:c r="I2047" s="498"/>
      <x:c r="J2047" s="498"/>
      <x:c r="K2047" s="498"/>
      <x:c r="L2047" s="498"/>
      <x:c r="M2047" s="498"/>
    </x:row>
    <x:row r="2048" ht="18" customHeight="1">
      <x:c r="A2048" s="498"/>
      <x:c r="B2048" s="498"/>
      <x:c r="C2048" s="498"/>
      <x:c r="D2048" s="498"/>
      <x:c r="E2048" s="498"/>
      <x:c r="F2048" s="498"/>
      <x:c r="G2048" s="498"/>
      <x:c r="H2048" s="498"/>
      <x:c r="I2048" s="498"/>
      <x:c r="J2048" s="498"/>
      <x:c r="K2048" s="498"/>
      <x:c r="L2048" s="498"/>
      <x:c r="M2048" s="498"/>
    </x:row>
    <x:row r="2049" ht="18" customHeight="1">
      <x:c r="A2049" s="498"/>
      <x:c r="B2049" s="498"/>
      <x:c r="C2049" s="498"/>
      <x:c r="D2049" s="498"/>
      <x:c r="E2049" s="498"/>
      <x:c r="F2049" s="498"/>
      <x:c r="G2049" s="498"/>
      <x:c r="H2049" s="498"/>
      <x:c r="I2049" s="498"/>
      <x:c r="J2049" s="498"/>
      <x:c r="K2049" s="498"/>
      <x:c r="L2049" s="498"/>
      <x:c r="M2049" s="498"/>
    </x:row>
    <x:row r="2050" ht="18" customHeight="1">
      <x:c r="A2050" s="498"/>
      <x:c r="B2050" s="498"/>
      <x:c r="C2050" s="498"/>
      <x:c r="D2050" s="498"/>
      <x:c r="E2050" s="498"/>
      <x:c r="F2050" s="498"/>
      <x:c r="G2050" s="498"/>
      <x:c r="H2050" s="498"/>
      <x:c r="I2050" s="498"/>
      <x:c r="J2050" s="498"/>
      <x:c r="K2050" s="498"/>
      <x:c r="L2050" s="498"/>
      <x:c r="M2050" s="498"/>
    </x:row>
    <x:row r="2051" ht="18" customHeight="1">
      <x:c r="A2051" s="498"/>
      <x:c r="B2051" s="498"/>
      <x:c r="C2051" s="498"/>
      <x:c r="D2051" s="498"/>
      <x:c r="E2051" s="498"/>
      <x:c r="F2051" s="498"/>
      <x:c r="G2051" s="498"/>
      <x:c r="H2051" s="498"/>
      <x:c r="I2051" s="498"/>
      <x:c r="J2051" s="498"/>
      <x:c r="K2051" s="498"/>
      <x:c r="L2051" s="498"/>
      <x:c r="M2051" s="498"/>
    </x:row>
    <x:row r="2052" ht="18" customHeight="1">
      <x:c r="A2052" s="498"/>
      <x:c r="B2052" s="498"/>
      <x:c r="C2052" s="498"/>
      <x:c r="D2052" s="498"/>
      <x:c r="E2052" s="498"/>
      <x:c r="F2052" s="498"/>
      <x:c r="G2052" s="498"/>
      <x:c r="H2052" s="498"/>
      <x:c r="I2052" s="498"/>
      <x:c r="J2052" s="498"/>
      <x:c r="K2052" s="498"/>
      <x:c r="L2052" s="498"/>
      <x:c r="M2052" s="498"/>
    </x:row>
    <x:row r="2053" ht="18" customHeight="1">
      <x:c r="A2053" s="498"/>
      <x:c r="B2053" s="498"/>
      <x:c r="C2053" s="498"/>
      <x:c r="D2053" s="498"/>
      <x:c r="E2053" s="498"/>
      <x:c r="F2053" s="498"/>
      <x:c r="G2053" s="498"/>
      <x:c r="H2053" s="498"/>
      <x:c r="I2053" s="498"/>
      <x:c r="J2053" s="498"/>
      <x:c r="K2053" s="498"/>
      <x:c r="L2053" s="498"/>
      <x:c r="M2053" s="498"/>
    </x:row>
    <x:row r="2054" ht="18" customHeight="1">
      <x:c r="A2054" s="498"/>
      <x:c r="B2054" s="498"/>
      <x:c r="C2054" s="498"/>
      <x:c r="D2054" s="498"/>
      <x:c r="E2054" s="498"/>
      <x:c r="F2054" s="498"/>
      <x:c r="G2054" s="498"/>
      <x:c r="H2054" s="498"/>
      <x:c r="I2054" s="498"/>
      <x:c r="J2054" s="498"/>
      <x:c r="K2054" s="498"/>
      <x:c r="L2054" s="498"/>
      <x:c r="M2054" s="498"/>
    </x:row>
    <x:row r="2055" ht="18" customHeight="1">
      <x:c r="A2055" s="498"/>
      <x:c r="B2055" s="498"/>
      <x:c r="C2055" s="498"/>
      <x:c r="D2055" s="498"/>
      <x:c r="E2055" s="498"/>
      <x:c r="F2055" s="498"/>
      <x:c r="G2055" s="498"/>
      <x:c r="H2055" s="498"/>
      <x:c r="I2055" s="498"/>
      <x:c r="J2055" s="498"/>
      <x:c r="K2055" s="498"/>
      <x:c r="L2055" s="498"/>
      <x:c r="M2055" s="498"/>
    </x:row>
    <x:row r="2056" ht="18" customHeight="1">
      <x:c r="A2056" s="498"/>
      <x:c r="B2056" s="498"/>
      <x:c r="C2056" s="498"/>
      <x:c r="D2056" s="498"/>
      <x:c r="E2056" s="498"/>
      <x:c r="F2056" s="498"/>
      <x:c r="G2056" s="498"/>
      <x:c r="H2056" s="498"/>
      <x:c r="I2056" s="498"/>
      <x:c r="J2056" s="498"/>
      <x:c r="K2056" s="498"/>
      <x:c r="L2056" s="498"/>
      <x:c r="M2056" s="498"/>
    </x:row>
    <x:row r="2057" ht="18" customHeight="1">
      <x:c r="A2057" s="498"/>
      <x:c r="B2057" s="498"/>
      <x:c r="C2057" s="498"/>
      <x:c r="D2057" s="498"/>
      <x:c r="E2057" s="498"/>
      <x:c r="F2057" s="498"/>
      <x:c r="G2057" s="498"/>
      <x:c r="H2057" s="498"/>
      <x:c r="I2057" s="498"/>
      <x:c r="J2057" s="498"/>
      <x:c r="K2057" s="498"/>
      <x:c r="L2057" s="498"/>
      <x:c r="M2057" s="498"/>
    </x:row>
    <x:row r="2058" ht="18" customHeight="1">
      <x:c r="A2058" s="498"/>
      <x:c r="B2058" s="498"/>
      <x:c r="C2058" s="498"/>
      <x:c r="D2058" s="498"/>
      <x:c r="E2058" s="498"/>
      <x:c r="F2058" s="498"/>
      <x:c r="G2058" s="498"/>
      <x:c r="H2058" s="498"/>
      <x:c r="I2058" s="498"/>
      <x:c r="J2058" s="498"/>
      <x:c r="K2058" s="498"/>
      <x:c r="L2058" s="498"/>
      <x:c r="M2058" s="498"/>
    </x:row>
    <x:row r="2059" ht="18" customHeight="1">
      <x:c r="A2059" s="498"/>
      <x:c r="B2059" s="498"/>
      <x:c r="C2059" s="498"/>
      <x:c r="D2059" s="498"/>
      <x:c r="E2059" s="498"/>
      <x:c r="F2059" s="498"/>
      <x:c r="G2059" s="498"/>
      <x:c r="H2059" s="498"/>
      <x:c r="I2059" s="498"/>
      <x:c r="J2059" s="498"/>
      <x:c r="K2059" s="498"/>
      <x:c r="L2059" s="498"/>
      <x:c r="M2059" s="498"/>
    </x:row>
    <x:row r="2060" ht="18" customHeight="1">
      <x:c r="A2060" s="498"/>
      <x:c r="B2060" s="498"/>
      <x:c r="C2060" s="498"/>
      <x:c r="D2060" s="498"/>
      <x:c r="E2060" s="498"/>
      <x:c r="F2060" s="498"/>
      <x:c r="G2060" s="498"/>
      <x:c r="H2060" s="498"/>
      <x:c r="I2060" s="498"/>
      <x:c r="J2060" s="498"/>
      <x:c r="K2060" s="498"/>
      <x:c r="L2060" s="498"/>
      <x:c r="M2060" s="498"/>
    </x:row>
    <x:row r="2061" ht="18" customHeight="1">
      <x:c r="A2061" s="498"/>
      <x:c r="B2061" s="498"/>
      <x:c r="C2061" s="498"/>
      <x:c r="D2061" s="498"/>
      <x:c r="E2061" s="498"/>
      <x:c r="F2061" s="498"/>
      <x:c r="G2061" s="498"/>
      <x:c r="H2061" s="498"/>
      <x:c r="I2061" s="498"/>
      <x:c r="J2061" s="498"/>
      <x:c r="K2061" s="498"/>
      <x:c r="L2061" s="498"/>
      <x:c r="M2061" s="498"/>
    </x:row>
    <x:row r="2062" ht="18" customHeight="1">
      <x:c r="A2062" s="498"/>
      <x:c r="B2062" s="498"/>
      <x:c r="C2062" s="498"/>
      <x:c r="D2062" s="498"/>
      <x:c r="E2062" s="498"/>
      <x:c r="F2062" s="498"/>
      <x:c r="G2062" s="498"/>
      <x:c r="H2062" s="498"/>
      <x:c r="I2062" s="498"/>
      <x:c r="J2062" s="498"/>
      <x:c r="K2062" s="498"/>
      <x:c r="L2062" s="498"/>
      <x:c r="M2062" s="498"/>
    </x:row>
    <x:row r="2063" ht="18" customHeight="1">
      <x:c r="A2063" s="498"/>
      <x:c r="B2063" s="498"/>
      <x:c r="C2063" s="498"/>
      <x:c r="D2063" s="498"/>
      <x:c r="E2063" s="498"/>
      <x:c r="F2063" s="498"/>
      <x:c r="G2063" s="498"/>
      <x:c r="H2063" s="498"/>
      <x:c r="I2063" s="498"/>
      <x:c r="J2063" s="498"/>
      <x:c r="K2063" s="498"/>
      <x:c r="L2063" s="498"/>
      <x:c r="M2063" s="498"/>
    </x:row>
    <x:row r="2064" ht="18" customHeight="1">
      <x:c r="A2064" s="498"/>
      <x:c r="B2064" s="498"/>
      <x:c r="C2064" s="498"/>
      <x:c r="D2064" s="498"/>
      <x:c r="E2064" s="498"/>
      <x:c r="F2064" s="498"/>
      <x:c r="G2064" s="498"/>
      <x:c r="H2064" s="498"/>
      <x:c r="I2064" s="498"/>
      <x:c r="J2064" s="498"/>
      <x:c r="K2064" s="498"/>
      <x:c r="L2064" s="498"/>
      <x:c r="M2064" s="498"/>
    </x:row>
    <x:row r="2065" ht="18" customHeight="1">
      <x:c r="A2065" s="498"/>
      <x:c r="B2065" s="498"/>
      <x:c r="C2065" s="498"/>
      <x:c r="D2065" s="498"/>
      <x:c r="E2065" s="498"/>
      <x:c r="F2065" s="498"/>
      <x:c r="G2065" s="498"/>
      <x:c r="H2065" s="498"/>
      <x:c r="I2065" s="498"/>
      <x:c r="J2065" s="498"/>
      <x:c r="K2065" s="498"/>
      <x:c r="L2065" s="498"/>
      <x:c r="M2065" s="498"/>
    </x:row>
    <x:row r="2066" ht="18" customHeight="1">
      <x:c r="A2066" s="498"/>
      <x:c r="B2066" s="498"/>
      <x:c r="C2066" s="498"/>
      <x:c r="D2066" s="498"/>
      <x:c r="E2066" s="498"/>
      <x:c r="F2066" s="498"/>
      <x:c r="G2066" s="498"/>
      <x:c r="H2066" s="498"/>
      <x:c r="I2066" s="498"/>
      <x:c r="J2066" s="498"/>
      <x:c r="K2066" s="498"/>
      <x:c r="L2066" s="498"/>
      <x:c r="M2066" s="498"/>
    </x:row>
    <x:row r="2067" ht="18" customHeight="1">
      <x:c r="A2067" s="498"/>
      <x:c r="B2067" s="498"/>
      <x:c r="C2067" s="498"/>
      <x:c r="D2067" s="498"/>
      <x:c r="E2067" s="498"/>
      <x:c r="F2067" s="498"/>
      <x:c r="G2067" s="498"/>
      <x:c r="H2067" s="498"/>
      <x:c r="I2067" s="498"/>
      <x:c r="J2067" s="498"/>
      <x:c r="K2067" s="498"/>
      <x:c r="L2067" s="498"/>
      <x:c r="M2067" s="498"/>
    </x:row>
    <x:row r="2068" ht="18" customHeight="1">
      <x:c r="A2068" s="498"/>
      <x:c r="B2068" s="498"/>
      <x:c r="C2068" s="498"/>
      <x:c r="D2068" s="498"/>
      <x:c r="E2068" s="498"/>
      <x:c r="F2068" s="498"/>
      <x:c r="G2068" s="498"/>
      <x:c r="H2068" s="498"/>
      <x:c r="I2068" s="498"/>
      <x:c r="J2068" s="498"/>
      <x:c r="K2068" s="498"/>
      <x:c r="L2068" s="498"/>
      <x:c r="M2068" s="498"/>
    </x:row>
    <x:row r="2069" ht="18" customHeight="1">
      <x:c r="A2069" s="498"/>
      <x:c r="B2069" s="498"/>
      <x:c r="C2069" s="498"/>
      <x:c r="D2069" s="498"/>
      <x:c r="E2069" s="498"/>
      <x:c r="F2069" s="498"/>
      <x:c r="G2069" s="498"/>
      <x:c r="H2069" s="498"/>
      <x:c r="I2069" s="498"/>
      <x:c r="J2069" s="498"/>
      <x:c r="K2069" s="498"/>
      <x:c r="L2069" s="498"/>
      <x:c r="M2069" s="498"/>
    </x:row>
    <x:row r="2070" ht="18" customHeight="1">
      <x:c r="A2070" s="498"/>
      <x:c r="B2070" s="498"/>
      <x:c r="C2070" s="498"/>
      <x:c r="D2070" s="498"/>
      <x:c r="E2070" s="498"/>
      <x:c r="F2070" s="498"/>
      <x:c r="G2070" s="498"/>
      <x:c r="H2070" s="498"/>
      <x:c r="I2070" s="498"/>
      <x:c r="J2070" s="498"/>
      <x:c r="K2070" s="498"/>
      <x:c r="L2070" s="498"/>
      <x:c r="M2070" s="498"/>
    </x:row>
    <x:row r="2071" ht="18" customHeight="1">
      <x:c r="A2071" s="498"/>
      <x:c r="B2071" s="498"/>
      <x:c r="C2071" s="498"/>
      <x:c r="D2071" s="498"/>
      <x:c r="E2071" s="498"/>
      <x:c r="F2071" s="498"/>
      <x:c r="G2071" s="498"/>
      <x:c r="H2071" s="498"/>
      <x:c r="I2071" s="498"/>
      <x:c r="J2071" s="498"/>
      <x:c r="K2071" s="498"/>
      <x:c r="L2071" s="498"/>
      <x:c r="M2071" s="498"/>
    </x:row>
    <x:row r="2072" ht="18" customHeight="1">
      <x:c r="A2072" s="498"/>
      <x:c r="B2072" s="498"/>
      <x:c r="C2072" s="498"/>
      <x:c r="D2072" s="498"/>
      <x:c r="E2072" s="498"/>
      <x:c r="F2072" s="498"/>
      <x:c r="G2072" s="498"/>
      <x:c r="H2072" s="498"/>
      <x:c r="I2072" s="498"/>
      <x:c r="J2072" s="498"/>
      <x:c r="K2072" s="498"/>
      <x:c r="L2072" s="498"/>
      <x:c r="M2072" s="498"/>
    </x:row>
    <x:row r="2073" ht="18" customHeight="1">
      <x:c r="A2073" s="498"/>
      <x:c r="B2073" s="498"/>
      <x:c r="C2073" s="498"/>
      <x:c r="D2073" s="498"/>
      <x:c r="E2073" s="498"/>
      <x:c r="F2073" s="498"/>
      <x:c r="G2073" s="498"/>
      <x:c r="H2073" s="498"/>
      <x:c r="I2073" s="498"/>
      <x:c r="J2073" s="498"/>
      <x:c r="K2073" s="498"/>
      <x:c r="L2073" s="498"/>
      <x:c r="M2073" s="498"/>
    </x:row>
    <x:row r="2074" ht="18" customHeight="1">
      <x:c r="A2074" s="498"/>
      <x:c r="B2074" s="498"/>
      <x:c r="C2074" s="498"/>
      <x:c r="D2074" s="498"/>
      <x:c r="E2074" s="498"/>
      <x:c r="F2074" s="498"/>
      <x:c r="G2074" s="498"/>
      <x:c r="H2074" s="498"/>
      <x:c r="I2074" s="498"/>
      <x:c r="J2074" s="498"/>
      <x:c r="K2074" s="498"/>
      <x:c r="L2074" s="498"/>
      <x:c r="M2074" s="498"/>
    </x:row>
    <x:row r="2075" ht="18" customHeight="1">
      <x:c r="A2075" s="498"/>
      <x:c r="B2075" s="498"/>
      <x:c r="C2075" s="498"/>
      <x:c r="D2075" s="498"/>
      <x:c r="E2075" s="498"/>
      <x:c r="F2075" s="498"/>
      <x:c r="G2075" s="498"/>
      <x:c r="H2075" s="498"/>
      <x:c r="I2075" s="498"/>
      <x:c r="J2075" s="498"/>
      <x:c r="K2075" s="498"/>
      <x:c r="L2075" s="498"/>
      <x:c r="M2075" s="498"/>
    </x:row>
    <x:row r="2076" ht="18" customHeight="1">
      <x:c r="A2076" s="498"/>
      <x:c r="B2076" s="498"/>
      <x:c r="C2076" s="498"/>
      <x:c r="D2076" s="498"/>
      <x:c r="E2076" s="498"/>
      <x:c r="F2076" s="498"/>
      <x:c r="G2076" s="498"/>
      <x:c r="H2076" s="498"/>
      <x:c r="I2076" s="498"/>
      <x:c r="J2076" s="498"/>
      <x:c r="K2076" s="498"/>
      <x:c r="L2076" s="498"/>
      <x:c r="M2076" s="498"/>
    </x:row>
    <x:row r="2077" ht="18" customHeight="1">
      <x:c r="A2077" s="498"/>
      <x:c r="B2077" s="498"/>
      <x:c r="C2077" s="498"/>
      <x:c r="D2077" s="498"/>
      <x:c r="E2077" s="498"/>
      <x:c r="F2077" s="498"/>
      <x:c r="G2077" s="498"/>
      <x:c r="H2077" s="498"/>
      <x:c r="I2077" s="498"/>
      <x:c r="J2077" s="498"/>
      <x:c r="K2077" s="498"/>
      <x:c r="L2077" s="498"/>
      <x:c r="M2077" s="498"/>
    </x:row>
    <x:row r="2078" ht="18" customHeight="1">
      <x:c r="A2078" s="498"/>
      <x:c r="B2078" s="498"/>
      <x:c r="C2078" s="498"/>
      <x:c r="D2078" s="498"/>
      <x:c r="E2078" s="498"/>
      <x:c r="F2078" s="498"/>
      <x:c r="G2078" s="498"/>
      <x:c r="H2078" s="498"/>
      <x:c r="I2078" s="498"/>
      <x:c r="J2078" s="498"/>
      <x:c r="K2078" s="498"/>
      <x:c r="L2078" s="498"/>
      <x:c r="M2078" s="498"/>
    </x:row>
    <x:row r="2079" ht="18" customHeight="1">
      <x:c r="A2079" s="498"/>
      <x:c r="B2079" s="498"/>
      <x:c r="C2079" s="498"/>
      <x:c r="D2079" s="498"/>
      <x:c r="E2079" s="498"/>
      <x:c r="F2079" s="498"/>
      <x:c r="G2079" s="498"/>
      <x:c r="H2079" s="498"/>
      <x:c r="I2079" s="498"/>
      <x:c r="J2079" s="498"/>
      <x:c r="K2079" s="498"/>
      <x:c r="L2079" s="498"/>
      <x:c r="M2079" s="498"/>
    </x:row>
    <x:row r="2080" ht="18" customHeight="1">
      <x:c r="A2080" s="498"/>
      <x:c r="B2080" s="498"/>
      <x:c r="C2080" s="498"/>
      <x:c r="D2080" s="498"/>
      <x:c r="E2080" s="498"/>
      <x:c r="F2080" s="498"/>
      <x:c r="G2080" s="498"/>
      <x:c r="H2080" s="498"/>
      <x:c r="I2080" s="498"/>
      <x:c r="J2080" s="498"/>
      <x:c r="K2080" s="498"/>
      <x:c r="L2080" s="498"/>
      <x:c r="M2080" s="498"/>
    </x:row>
    <x:row r="2081" ht="18" customHeight="1">
      <x:c r="A2081" s="498"/>
      <x:c r="B2081" s="498"/>
      <x:c r="C2081" s="498"/>
      <x:c r="D2081" s="498"/>
      <x:c r="E2081" s="498"/>
      <x:c r="F2081" s="498"/>
      <x:c r="G2081" s="498"/>
      <x:c r="H2081" s="498"/>
      <x:c r="I2081" s="498"/>
      <x:c r="J2081" s="498"/>
      <x:c r="K2081" s="498"/>
      <x:c r="L2081" s="498"/>
      <x:c r="M2081" s="498"/>
    </x:row>
    <x:row r="2082" ht="18" customHeight="1">
      <x:c r="A2082" s="498"/>
      <x:c r="B2082" s="498"/>
      <x:c r="C2082" s="498"/>
      <x:c r="D2082" s="498"/>
      <x:c r="E2082" s="498"/>
      <x:c r="F2082" s="498"/>
      <x:c r="G2082" s="498"/>
      <x:c r="H2082" s="498"/>
      <x:c r="I2082" s="498"/>
      <x:c r="J2082" s="498"/>
      <x:c r="K2082" s="498"/>
      <x:c r="L2082" s="498"/>
      <x:c r="M2082" s="498"/>
    </x:row>
    <x:row r="2083" ht="18" customHeight="1">
      <x:c r="A2083" s="498"/>
      <x:c r="B2083" s="498"/>
      <x:c r="C2083" s="498"/>
      <x:c r="D2083" s="498"/>
      <x:c r="E2083" s="498"/>
      <x:c r="F2083" s="498"/>
      <x:c r="G2083" s="498"/>
      <x:c r="H2083" s="498"/>
      <x:c r="I2083" s="498"/>
      <x:c r="J2083" s="498"/>
      <x:c r="K2083" s="498"/>
      <x:c r="L2083" s="498"/>
      <x:c r="M2083" s="498"/>
    </x:row>
    <x:row r="2084" ht="18" customHeight="1">
      <x:c r="A2084" s="498"/>
      <x:c r="B2084" s="498"/>
      <x:c r="C2084" s="498"/>
      <x:c r="D2084" s="498"/>
      <x:c r="E2084" s="498"/>
      <x:c r="F2084" s="498"/>
      <x:c r="G2084" s="498"/>
      <x:c r="H2084" s="498"/>
      <x:c r="I2084" s="498"/>
      <x:c r="J2084" s="498"/>
      <x:c r="K2084" s="498"/>
      <x:c r="L2084" s="498"/>
      <x:c r="M2084" s="498"/>
    </x:row>
    <x:row r="2085" ht="18" customHeight="1">
      <x:c r="A2085" s="498"/>
      <x:c r="B2085" s="498"/>
      <x:c r="C2085" s="498"/>
      <x:c r="D2085" s="498"/>
      <x:c r="E2085" s="498"/>
      <x:c r="F2085" s="498"/>
      <x:c r="G2085" s="498"/>
      <x:c r="H2085" s="498"/>
      <x:c r="I2085" s="498"/>
      <x:c r="J2085" s="498"/>
      <x:c r="K2085" s="498"/>
      <x:c r="L2085" s="498"/>
      <x:c r="M2085" s="498"/>
    </x:row>
    <x:row r="2086" ht="18" customHeight="1">
      <x:c r="A2086" s="498"/>
      <x:c r="B2086" s="498"/>
      <x:c r="C2086" s="498"/>
      <x:c r="D2086" s="498"/>
      <x:c r="E2086" s="498"/>
      <x:c r="F2086" s="498"/>
      <x:c r="G2086" s="498"/>
      <x:c r="H2086" s="498"/>
      <x:c r="I2086" s="498"/>
      <x:c r="J2086" s="498"/>
      <x:c r="K2086" s="498"/>
      <x:c r="L2086" s="498"/>
      <x:c r="M2086" s="498"/>
    </x:row>
    <x:row r="2087" ht="18" customHeight="1">
      <x:c r="A2087" s="498"/>
      <x:c r="B2087" s="498"/>
      <x:c r="C2087" s="498"/>
      <x:c r="D2087" s="498"/>
      <x:c r="E2087" s="498"/>
      <x:c r="F2087" s="498"/>
      <x:c r="G2087" s="498"/>
      <x:c r="H2087" s="498"/>
      <x:c r="I2087" s="498"/>
      <x:c r="J2087" s="498"/>
      <x:c r="K2087" s="498"/>
      <x:c r="L2087" s="498"/>
      <x:c r="M2087" s="498"/>
    </x:row>
    <x:row r="2088" ht="18" customHeight="1">
      <x:c r="A2088" s="498"/>
      <x:c r="B2088" s="498"/>
      <x:c r="C2088" s="498"/>
      <x:c r="D2088" s="498"/>
      <x:c r="E2088" s="498"/>
      <x:c r="F2088" s="498"/>
      <x:c r="G2088" s="498"/>
      <x:c r="H2088" s="498"/>
      <x:c r="I2088" s="498"/>
      <x:c r="J2088" s="498"/>
      <x:c r="K2088" s="498"/>
      <x:c r="L2088" s="498"/>
      <x:c r="M2088" s="498"/>
    </x:row>
    <x:row r="2089" ht="18" customHeight="1">
      <x:c r="A2089" s="498"/>
      <x:c r="B2089" s="498"/>
      <x:c r="C2089" s="498"/>
      <x:c r="D2089" s="498"/>
      <x:c r="E2089" s="498"/>
      <x:c r="F2089" s="498"/>
      <x:c r="G2089" s="498"/>
      <x:c r="H2089" s="498"/>
      <x:c r="I2089" s="498"/>
      <x:c r="J2089" s="498"/>
      <x:c r="K2089" s="498"/>
      <x:c r="L2089" s="498"/>
      <x:c r="M2089" s="498"/>
    </x:row>
    <x:row r="2090" ht="18" customHeight="1">
      <x:c r="A2090" s="498"/>
      <x:c r="B2090" s="498"/>
      <x:c r="C2090" s="498"/>
      <x:c r="D2090" s="498"/>
      <x:c r="E2090" s="498"/>
      <x:c r="F2090" s="498"/>
      <x:c r="G2090" s="498"/>
      <x:c r="H2090" s="498"/>
      <x:c r="I2090" s="498"/>
      <x:c r="J2090" s="498"/>
      <x:c r="K2090" s="498"/>
      <x:c r="L2090" s="498"/>
      <x:c r="M2090" s="498"/>
    </x:row>
    <x:row r="2091" ht="18" customHeight="1">
      <x:c r="A2091" s="498"/>
      <x:c r="B2091" s="498"/>
      <x:c r="C2091" s="498"/>
      <x:c r="D2091" s="498"/>
      <x:c r="E2091" s="498"/>
      <x:c r="F2091" s="498"/>
      <x:c r="G2091" s="498"/>
      <x:c r="H2091" s="498"/>
      <x:c r="I2091" s="498"/>
      <x:c r="J2091" s="498"/>
      <x:c r="K2091" s="498"/>
      <x:c r="L2091" s="498"/>
      <x:c r="M2091" s="498"/>
    </x:row>
    <x:row r="2092" ht="18" customHeight="1">
      <x:c r="A2092" s="498"/>
      <x:c r="B2092" s="498"/>
      <x:c r="C2092" s="498"/>
      <x:c r="D2092" s="498"/>
      <x:c r="E2092" s="498"/>
      <x:c r="F2092" s="498"/>
      <x:c r="G2092" s="498"/>
      <x:c r="H2092" s="498"/>
      <x:c r="I2092" s="498"/>
      <x:c r="J2092" s="498"/>
      <x:c r="K2092" s="498"/>
      <x:c r="L2092" s="498"/>
      <x:c r="M2092" s="498"/>
    </x:row>
    <x:row r="2093" ht="18" customHeight="1">
      <x:c r="A2093" s="498"/>
      <x:c r="B2093" s="498"/>
      <x:c r="C2093" s="498"/>
      <x:c r="D2093" s="498"/>
      <x:c r="E2093" s="498"/>
      <x:c r="F2093" s="498"/>
      <x:c r="G2093" s="498"/>
      <x:c r="H2093" s="498"/>
      <x:c r="I2093" s="498"/>
      <x:c r="J2093" s="498"/>
      <x:c r="K2093" s="498"/>
      <x:c r="L2093" s="498"/>
      <x:c r="M2093" s="498"/>
    </x:row>
    <x:row r="2094" ht="18" customHeight="1">
      <x:c r="A2094" s="498"/>
      <x:c r="B2094" s="498"/>
      <x:c r="C2094" s="498"/>
      <x:c r="D2094" s="498"/>
      <x:c r="E2094" s="498"/>
      <x:c r="F2094" s="498"/>
      <x:c r="G2094" s="498"/>
      <x:c r="H2094" s="498"/>
      <x:c r="I2094" s="498"/>
      <x:c r="J2094" s="498"/>
      <x:c r="K2094" s="498"/>
      <x:c r="L2094" s="498"/>
      <x:c r="M2094" s="498"/>
    </x:row>
    <x:row r="2095" ht="18" customHeight="1">
      <x:c r="A2095" s="498"/>
      <x:c r="B2095" s="498"/>
      <x:c r="C2095" s="498"/>
      <x:c r="D2095" s="498"/>
      <x:c r="E2095" s="498"/>
      <x:c r="F2095" s="498"/>
      <x:c r="G2095" s="498"/>
      <x:c r="H2095" s="498"/>
      <x:c r="I2095" s="498"/>
      <x:c r="J2095" s="498"/>
      <x:c r="K2095" s="498"/>
      <x:c r="L2095" s="498"/>
      <x:c r="M2095" s="498"/>
    </x:row>
    <x:row r="2096" ht="18" customHeight="1">
      <x:c r="A2096" s="498"/>
      <x:c r="B2096" s="498"/>
      <x:c r="C2096" s="498"/>
      <x:c r="D2096" s="498"/>
      <x:c r="E2096" s="498"/>
      <x:c r="F2096" s="498"/>
      <x:c r="G2096" s="498"/>
      <x:c r="H2096" s="498"/>
      <x:c r="I2096" s="498"/>
      <x:c r="J2096" s="498"/>
      <x:c r="K2096" s="498"/>
      <x:c r="L2096" s="498"/>
      <x:c r="M2096" s="498"/>
    </x:row>
    <x:row r="2097" ht="18" customHeight="1">
      <x:c r="A2097" s="498"/>
      <x:c r="B2097" s="498"/>
      <x:c r="C2097" s="498"/>
      <x:c r="D2097" s="498"/>
      <x:c r="E2097" s="498"/>
      <x:c r="F2097" s="498"/>
      <x:c r="G2097" s="498"/>
      <x:c r="H2097" s="498"/>
      <x:c r="I2097" s="498"/>
      <x:c r="J2097" s="498"/>
      <x:c r="K2097" s="498"/>
      <x:c r="L2097" s="498"/>
      <x:c r="M2097" s="498"/>
    </x:row>
    <x:row r="2098" ht="18" customHeight="1">
      <x:c r="A2098" s="498"/>
      <x:c r="B2098" s="498"/>
      <x:c r="C2098" s="498"/>
      <x:c r="D2098" s="498"/>
      <x:c r="E2098" s="498"/>
      <x:c r="F2098" s="498"/>
      <x:c r="G2098" s="498"/>
      <x:c r="H2098" s="498"/>
      <x:c r="I2098" s="498"/>
      <x:c r="J2098" s="498"/>
      <x:c r="K2098" s="498"/>
      <x:c r="L2098" s="498"/>
      <x:c r="M2098" s="498"/>
    </x:row>
    <x:row r="2099" ht="18" customHeight="1">
      <x:c r="A2099" s="498"/>
      <x:c r="B2099" s="498"/>
      <x:c r="C2099" s="498"/>
      <x:c r="D2099" s="498"/>
      <x:c r="E2099" s="498"/>
      <x:c r="F2099" s="498"/>
      <x:c r="G2099" s="498"/>
      <x:c r="H2099" s="498"/>
      <x:c r="I2099" s="498"/>
      <x:c r="J2099" s="498"/>
      <x:c r="K2099" s="498"/>
      <x:c r="L2099" s="498"/>
      <x:c r="M2099" s="498"/>
    </x:row>
    <x:row r="2100" ht="18" customHeight="1">
      <x:c r="A2100" s="498"/>
      <x:c r="B2100" s="498"/>
      <x:c r="C2100" s="498"/>
      <x:c r="D2100" s="498"/>
      <x:c r="E2100" s="498"/>
      <x:c r="F2100" s="498"/>
      <x:c r="G2100" s="498"/>
      <x:c r="H2100" s="498"/>
      <x:c r="I2100" s="498"/>
      <x:c r="J2100" s="498"/>
      <x:c r="K2100" s="498"/>
      <x:c r="L2100" s="498"/>
      <x:c r="M2100" s="498"/>
    </x:row>
    <x:row r="2101" ht="18" customHeight="1">
      <x:c r="A2101" s="498"/>
      <x:c r="B2101" s="498"/>
      <x:c r="C2101" s="498"/>
      <x:c r="D2101" s="498"/>
      <x:c r="E2101" s="498"/>
      <x:c r="F2101" s="498"/>
      <x:c r="G2101" s="498"/>
      <x:c r="H2101" s="498"/>
      <x:c r="I2101" s="498"/>
      <x:c r="J2101" s="498"/>
      <x:c r="K2101" s="498"/>
      <x:c r="L2101" s="498"/>
      <x:c r="M2101" s="498"/>
    </x:row>
    <x:row r="2102" ht="18" customHeight="1">
      <x:c r="A2102" s="498"/>
      <x:c r="B2102" s="498"/>
      <x:c r="C2102" s="498"/>
      <x:c r="D2102" s="498"/>
      <x:c r="E2102" s="498"/>
      <x:c r="F2102" s="498"/>
      <x:c r="G2102" s="498"/>
      <x:c r="H2102" s="498"/>
      <x:c r="I2102" s="498"/>
      <x:c r="J2102" s="498"/>
      <x:c r="K2102" s="498"/>
      <x:c r="L2102" s="498"/>
      <x:c r="M2102" s="498"/>
    </x:row>
    <x:row r="2103" ht="18" customHeight="1">
      <x:c r="A2103" s="498"/>
      <x:c r="B2103" s="498"/>
      <x:c r="C2103" s="498"/>
      <x:c r="D2103" s="498"/>
      <x:c r="E2103" s="498"/>
      <x:c r="F2103" s="498"/>
      <x:c r="G2103" s="498"/>
      <x:c r="H2103" s="498"/>
      <x:c r="I2103" s="498"/>
      <x:c r="J2103" s="498"/>
      <x:c r="K2103" s="498"/>
      <x:c r="L2103" s="498"/>
      <x:c r="M2103" s="498"/>
    </x:row>
    <x:row r="2104" ht="18" customHeight="1">
      <x:c r="A2104" s="498"/>
      <x:c r="B2104" s="498"/>
      <x:c r="C2104" s="498"/>
      <x:c r="D2104" s="498"/>
      <x:c r="E2104" s="498"/>
      <x:c r="F2104" s="498"/>
      <x:c r="G2104" s="498"/>
      <x:c r="H2104" s="498"/>
      <x:c r="I2104" s="498"/>
      <x:c r="J2104" s="498"/>
      <x:c r="K2104" s="498"/>
      <x:c r="L2104" s="498"/>
      <x:c r="M2104" s="498"/>
    </x:row>
    <x:row r="2105" ht="18" customHeight="1">
      <x:c r="A2105" s="498"/>
      <x:c r="B2105" s="498"/>
      <x:c r="C2105" s="498"/>
      <x:c r="D2105" s="498"/>
      <x:c r="E2105" s="498"/>
      <x:c r="F2105" s="498"/>
      <x:c r="G2105" s="498"/>
      <x:c r="H2105" s="498"/>
      <x:c r="I2105" s="498"/>
      <x:c r="J2105" s="498"/>
      <x:c r="K2105" s="498"/>
      <x:c r="L2105" s="498"/>
      <x:c r="M2105" s="498"/>
    </x:row>
    <x:row r="2106" ht="18" customHeight="1">
      <x:c r="A2106" s="498"/>
      <x:c r="B2106" s="498"/>
      <x:c r="C2106" s="498"/>
      <x:c r="D2106" s="498"/>
      <x:c r="E2106" s="498"/>
      <x:c r="F2106" s="498"/>
      <x:c r="G2106" s="498"/>
      <x:c r="H2106" s="498"/>
      <x:c r="I2106" s="498"/>
      <x:c r="J2106" s="498"/>
      <x:c r="K2106" s="498"/>
      <x:c r="L2106" s="498"/>
      <x:c r="M2106" s="498"/>
    </x:row>
    <x:row r="2107" ht="18" customHeight="1">
      <x:c r="A2107" s="498"/>
      <x:c r="B2107" s="498"/>
      <x:c r="C2107" s="498"/>
      <x:c r="D2107" s="498"/>
      <x:c r="E2107" s="498"/>
      <x:c r="F2107" s="498"/>
      <x:c r="G2107" s="498"/>
      <x:c r="H2107" s="498"/>
      <x:c r="I2107" s="498"/>
      <x:c r="J2107" s="498"/>
      <x:c r="K2107" s="498"/>
      <x:c r="L2107" s="498"/>
      <x:c r="M2107" s="498"/>
    </x:row>
    <x:row r="2108" ht="18" customHeight="1">
      <x:c r="A2108" s="498"/>
      <x:c r="B2108" s="498"/>
      <x:c r="C2108" s="498"/>
      <x:c r="D2108" s="498"/>
      <x:c r="E2108" s="498"/>
      <x:c r="F2108" s="498"/>
      <x:c r="G2108" s="498"/>
      <x:c r="H2108" s="498"/>
      <x:c r="I2108" s="498"/>
      <x:c r="J2108" s="498"/>
      <x:c r="K2108" s="498"/>
      <x:c r="L2108" s="498"/>
      <x:c r="M2108" s="498"/>
    </x:row>
    <x:row r="2109" ht="18" customHeight="1">
      <x:c r="A2109" s="498"/>
      <x:c r="B2109" s="498"/>
      <x:c r="C2109" s="498"/>
      <x:c r="D2109" s="498"/>
      <x:c r="E2109" s="498"/>
      <x:c r="F2109" s="498"/>
      <x:c r="G2109" s="498"/>
      <x:c r="H2109" s="498"/>
      <x:c r="I2109" s="498"/>
      <x:c r="J2109" s="498"/>
      <x:c r="K2109" s="498"/>
      <x:c r="L2109" s="498"/>
      <x:c r="M2109" s="498"/>
    </x:row>
    <x:row r="2110" ht="18" customHeight="1">
      <x:c r="A2110" s="498"/>
      <x:c r="B2110" s="498"/>
      <x:c r="C2110" s="498"/>
      <x:c r="D2110" s="498"/>
      <x:c r="E2110" s="498"/>
      <x:c r="F2110" s="498"/>
      <x:c r="G2110" s="498"/>
      <x:c r="H2110" s="498"/>
      <x:c r="I2110" s="498"/>
      <x:c r="J2110" s="498"/>
      <x:c r="K2110" s="498"/>
      <x:c r="L2110" s="498"/>
      <x:c r="M2110" s="498"/>
    </x:row>
    <x:row r="2111" ht="18" customHeight="1">
      <x:c r="A2111" s="498"/>
      <x:c r="B2111" s="498"/>
      <x:c r="C2111" s="498"/>
      <x:c r="D2111" s="498"/>
      <x:c r="E2111" s="498"/>
      <x:c r="F2111" s="498"/>
      <x:c r="G2111" s="498"/>
      <x:c r="H2111" s="498"/>
      <x:c r="I2111" s="498"/>
      <x:c r="J2111" s="498"/>
      <x:c r="K2111" s="498"/>
      <x:c r="L2111" s="498"/>
      <x:c r="M2111" s="498"/>
    </x:row>
    <x:row r="2112" ht="18" customHeight="1">
      <x:c r="A2112" s="498"/>
      <x:c r="B2112" s="498"/>
      <x:c r="C2112" s="498"/>
      <x:c r="D2112" s="498"/>
      <x:c r="E2112" s="498"/>
      <x:c r="F2112" s="498"/>
      <x:c r="G2112" s="498"/>
      <x:c r="H2112" s="498"/>
      <x:c r="I2112" s="498"/>
      <x:c r="J2112" s="498"/>
      <x:c r="K2112" s="498"/>
      <x:c r="L2112" s="498"/>
      <x:c r="M2112" s="498"/>
    </x:row>
    <x:row r="2113" ht="18" customHeight="1">
      <x:c r="A2113" s="498"/>
      <x:c r="B2113" s="498"/>
      <x:c r="C2113" s="498"/>
      <x:c r="D2113" s="498"/>
      <x:c r="E2113" s="498"/>
      <x:c r="F2113" s="498"/>
      <x:c r="G2113" s="498"/>
      <x:c r="H2113" s="498"/>
      <x:c r="I2113" s="498"/>
      <x:c r="J2113" s="498"/>
      <x:c r="K2113" s="498"/>
      <x:c r="L2113" s="498"/>
      <x:c r="M2113" s="498"/>
    </x:row>
    <x:row r="2114" ht="18" customHeight="1">
      <x:c r="A2114" s="498"/>
      <x:c r="B2114" s="498"/>
      <x:c r="C2114" s="498"/>
      <x:c r="D2114" s="498"/>
      <x:c r="E2114" s="498"/>
      <x:c r="F2114" s="498"/>
      <x:c r="G2114" s="498"/>
      <x:c r="H2114" s="498"/>
      <x:c r="I2114" s="498"/>
      <x:c r="J2114" s="498"/>
      <x:c r="K2114" s="498"/>
      <x:c r="L2114" s="498"/>
      <x:c r="M2114" s="498"/>
    </x:row>
    <x:row r="2115" ht="18" customHeight="1">
      <x:c r="A2115" s="498"/>
      <x:c r="B2115" s="498"/>
      <x:c r="C2115" s="498"/>
      <x:c r="D2115" s="498"/>
      <x:c r="E2115" s="498"/>
      <x:c r="F2115" s="498"/>
      <x:c r="G2115" s="498"/>
      <x:c r="H2115" s="498"/>
      <x:c r="I2115" s="498"/>
      <x:c r="J2115" s="498"/>
      <x:c r="K2115" s="498"/>
      <x:c r="L2115" s="498"/>
      <x:c r="M2115" s="498"/>
    </x:row>
    <x:row r="2116" ht="18" customHeight="1">
      <x:c r="A2116" s="498"/>
      <x:c r="B2116" s="498"/>
      <x:c r="C2116" s="498"/>
      <x:c r="D2116" s="498"/>
      <x:c r="E2116" s="498"/>
      <x:c r="F2116" s="498"/>
      <x:c r="G2116" s="498"/>
      <x:c r="H2116" s="498"/>
      <x:c r="I2116" s="498"/>
      <x:c r="J2116" s="498"/>
      <x:c r="K2116" s="498"/>
      <x:c r="L2116" s="498"/>
      <x:c r="M2116" s="498"/>
    </x:row>
    <x:row r="2117" ht="18" customHeight="1">
      <x:c r="A2117" s="498"/>
      <x:c r="B2117" s="498"/>
      <x:c r="C2117" s="498"/>
      <x:c r="D2117" s="498"/>
      <x:c r="E2117" s="498"/>
      <x:c r="F2117" s="498"/>
      <x:c r="G2117" s="498"/>
      <x:c r="H2117" s="498"/>
      <x:c r="I2117" s="498"/>
      <x:c r="J2117" s="498"/>
      <x:c r="K2117" s="498"/>
      <x:c r="L2117" s="498"/>
      <x:c r="M2117" s="498"/>
    </x:row>
    <x:row r="2118" ht="18" customHeight="1">
      <x:c r="A2118" s="498"/>
      <x:c r="B2118" s="498"/>
      <x:c r="C2118" s="498"/>
      <x:c r="D2118" s="498"/>
      <x:c r="E2118" s="498"/>
      <x:c r="F2118" s="498"/>
      <x:c r="G2118" s="498"/>
      <x:c r="H2118" s="498"/>
      <x:c r="I2118" s="498"/>
      <x:c r="J2118" s="498"/>
      <x:c r="K2118" s="498"/>
      <x:c r="L2118" s="498"/>
      <x:c r="M2118" s="498"/>
    </x:row>
    <x:row r="2119" ht="18" customHeight="1">
      <x:c r="A2119" s="498"/>
      <x:c r="B2119" s="498"/>
      <x:c r="C2119" s="498"/>
      <x:c r="D2119" s="498"/>
      <x:c r="E2119" s="498"/>
      <x:c r="F2119" s="498"/>
      <x:c r="G2119" s="498"/>
      <x:c r="H2119" s="498"/>
      <x:c r="I2119" s="498"/>
      <x:c r="J2119" s="498"/>
      <x:c r="K2119" s="498"/>
      <x:c r="L2119" s="498"/>
      <x:c r="M2119" s="498"/>
    </x:row>
    <x:row r="2120" ht="18" customHeight="1">
      <x:c r="A2120" s="498"/>
      <x:c r="B2120" s="498"/>
      <x:c r="C2120" s="498"/>
      <x:c r="D2120" s="498"/>
      <x:c r="E2120" s="498"/>
      <x:c r="F2120" s="498"/>
      <x:c r="G2120" s="498"/>
      <x:c r="H2120" s="498"/>
      <x:c r="I2120" s="498"/>
      <x:c r="J2120" s="498"/>
      <x:c r="K2120" s="498"/>
      <x:c r="L2120" s="498"/>
      <x:c r="M2120" s="498"/>
    </x:row>
    <x:row r="2121" ht="18" customHeight="1">
      <x:c r="A2121" s="498"/>
      <x:c r="B2121" s="498"/>
      <x:c r="C2121" s="498"/>
      <x:c r="D2121" s="498"/>
      <x:c r="E2121" s="498"/>
      <x:c r="F2121" s="498"/>
      <x:c r="G2121" s="498"/>
      <x:c r="H2121" s="498"/>
      <x:c r="I2121" s="498"/>
      <x:c r="J2121" s="498"/>
      <x:c r="K2121" s="498"/>
      <x:c r="L2121" s="498"/>
      <x:c r="M2121" s="498"/>
    </x:row>
    <x:row r="2122" ht="18" customHeight="1">
      <x:c r="A2122" s="498"/>
      <x:c r="B2122" s="498"/>
      <x:c r="C2122" s="498"/>
      <x:c r="D2122" s="498"/>
      <x:c r="E2122" s="498"/>
      <x:c r="F2122" s="498"/>
      <x:c r="G2122" s="498"/>
      <x:c r="H2122" s="498"/>
      <x:c r="I2122" s="498"/>
      <x:c r="J2122" s="498"/>
      <x:c r="K2122" s="498"/>
      <x:c r="L2122" s="498"/>
      <x:c r="M2122" s="498"/>
    </x:row>
    <x:row r="2123" ht="18" customHeight="1">
      <x:c r="A2123" s="498"/>
      <x:c r="B2123" s="498"/>
      <x:c r="C2123" s="498"/>
      <x:c r="D2123" s="498"/>
      <x:c r="E2123" s="498"/>
      <x:c r="F2123" s="498"/>
      <x:c r="G2123" s="498"/>
      <x:c r="H2123" s="498"/>
      <x:c r="I2123" s="498"/>
      <x:c r="J2123" s="498"/>
      <x:c r="K2123" s="498"/>
      <x:c r="L2123" s="498"/>
      <x:c r="M2123" s="498"/>
    </x:row>
    <x:row r="2124" ht="18" customHeight="1">
      <x:c r="A2124" s="498"/>
      <x:c r="B2124" s="498"/>
      <x:c r="C2124" s="498"/>
      <x:c r="D2124" s="498"/>
      <x:c r="E2124" s="498"/>
      <x:c r="F2124" s="498"/>
      <x:c r="G2124" s="498"/>
      <x:c r="H2124" s="498"/>
      <x:c r="I2124" s="498"/>
      <x:c r="J2124" s="498"/>
      <x:c r="K2124" s="498"/>
      <x:c r="L2124" s="498"/>
      <x:c r="M2124" s="498"/>
    </x:row>
    <x:row r="2125" ht="18" customHeight="1">
      <x:c r="A2125" s="498"/>
      <x:c r="B2125" s="498"/>
      <x:c r="C2125" s="498"/>
      <x:c r="D2125" s="498"/>
      <x:c r="E2125" s="498"/>
      <x:c r="F2125" s="498"/>
      <x:c r="G2125" s="498"/>
      <x:c r="H2125" s="498"/>
      <x:c r="I2125" s="498"/>
      <x:c r="J2125" s="498"/>
      <x:c r="K2125" s="498"/>
      <x:c r="L2125" s="498"/>
      <x:c r="M2125" s="498"/>
    </x:row>
    <x:row r="2126" ht="18" customHeight="1">
      <x:c r="A2126" s="498"/>
      <x:c r="B2126" s="498"/>
      <x:c r="C2126" s="498"/>
      <x:c r="D2126" s="498"/>
      <x:c r="E2126" s="498"/>
      <x:c r="F2126" s="498"/>
      <x:c r="G2126" s="498"/>
      <x:c r="H2126" s="498"/>
      <x:c r="I2126" s="498"/>
      <x:c r="J2126" s="498"/>
      <x:c r="K2126" s="498"/>
      <x:c r="L2126" s="498"/>
      <x:c r="M2126" s="498"/>
    </x:row>
    <x:row r="2127" ht="18" customHeight="1">
      <x:c r="A2127" s="498"/>
      <x:c r="B2127" s="498"/>
      <x:c r="C2127" s="498"/>
      <x:c r="D2127" s="498"/>
      <x:c r="E2127" s="498"/>
      <x:c r="F2127" s="498"/>
      <x:c r="G2127" s="498"/>
      <x:c r="H2127" s="498"/>
      <x:c r="I2127" s="498"/>
      <x:c r="J2127" s="498"/>
      <x:c r="K2127" s="498"/>
      <x:c r="L2127" s="498"/>
      <x:c r="M2127" s="498"/>
    </x:row>
    <x:row r="2128" ht="18" customHeight="1">
      <x:c r="A2128" s="498"/>
      <x:c r="B2128" s="498"/>
      <x:c r="C2128" s="498"/>
      <x:c r="D2128" s="498"/>
      <x:c r="E2128" s="498"/>
      <x:c r="F2128" s="498"/>
      <x:c r="G2128" s="498"/>
      <x:c r="H2128" s="498"/>
      <x:c r="I2128" s="498"/>
      <x:c r="J2128" s="498"/>
      <x:c r="K2128" s="498"/>
      <x:c r="L2128" s="498"/>
      <x:c r="M2128" s="498"/>
    </x:row>
    <x:row r="2129" ht="18" customHeight="1">
      <x:c r="A2129" s="498"/>
      <x:c r="B2129" s="498"/>
      <x:c r="C2129" s="498"/>
      <x:c r="D2129" s="498"/>
      <x:c r="E2129" s="498"/>
      <x:c r="F2129" s="498"/>
      <x:c r="G2129" s="498"/>
      <x:c r="H2129" s="498"/>
      <x:c r="I2129" s="498"/>
      <x:c r="J2129" s="498"/>
      <x:c r="K2129" s="498"/>
      <x:c r="L2129" s="498"/>
      <x:c r="M2129" s="498"/>
    </x:row>
    <x:row r="2130" ht="18" customHeight="1">
      <x:c r="A2130" s="498"/>
      <x:c r="B2130" s="498"/>
      <x:c r="C2130" s="498"/>
      <x:c r="D2130" s="498"/>
      <x:c r="E2130" s="498"/>
      <x:c r="F2130" s="498"/>
      <x:c r="G2130" s="498"/>
      <x:c r="H2130" s="498"/>
      <x:c r="I2130" s="498"/>
      <x:c r="J2130" s="498"/>
      <x:c r="K2130" s="498"/>
      <x:c r="L2130" s="498"/>
      <x:c r="M2130" s="498"/>
    </x:row>
    <x:row r="2131" ht="18" customHeight="1">
      <x:c r="A2131" s="498"/>
      <x:c r="B2131" s="498"/>
      <x:c r="C2131" s="498"/>
      <x:c r="D2131" s="498"/>
      <x:c r="E2131" s="498"/>
      <x:c r="F2131" s="498"/>
      <x:c r="G2131" s="498"/>
      <x:c r="H2131" s="498"/>
      <x:c r="I2131" s="498"/>
      <x:c r="J2131" s="498"/>
      <x:c r="K2131" s="498"/>
      <x:c r="L2131" s="498"/>
      <x:c r="M2131" s="498"/>
    </x:row>
    <x:row r="2132" ht="18" customHeight="1">
      <x:c r="A2132" s="498"/>
      <x:c r="B2132" s="498"/>
      <x:c r="C2132" s="498"/>
      <x:c r="D2132" s="498"/>
      <x:c r="E2132" s="498"/>
      <x:c r="F2132" s="498"/>
      <x:c r="G2132" s="498"/>
      <x:c r="H2132" s="498"/>
      <x:c r="I2132" s="498"/>
      <x:c r="J2132" s="498"/>
      <x:c r="K2132" s="498"/>
      <x:c r="L2132" s="498"/>
      <x:c r="M2132" s="498"/>
    </x:row>
    <x:row r="2133" ht="18" customHeight="1">
      <x:c r="A2133" s="498"/>
      <x:c r="B2133" s="498"/>
      <x:c r="C2133" s="498"/>
      <x:c r="D2133" s="498"/>
      <x:c r="E2133" s="498"/>
      <x:c r="F2133" s="498"/>
      <x:c r="G2133" s="498"/>
      <x:c r="H2133" s="498"/>
      <x:c r="I2133" s="498"/>
      <x:c r="J2133" s="498"/>
      <x:c r="K2133" s="498"/>
      <x:c r="L2133" s="498"/>
      <x:c r="M2133" s="498"/>
    </x:row>
    <x:row r="2134" ht="18" customHeight="1">
      <x:c r="A2134" s="498"/>
      <x:c r="B2134" s="498"/>
      <x:c r="C2134" s="498"/>
      <x:c r="D2134" s="498"/>
      <x:c r="E2134" s="498"/>
      <x:c r="F2134" s="498"/>
      <x:c r="G2134" s="498"/>
      <x:c r="H2134" s="498"/>
      <x:c r="I2134" s="498"/>
      <x:c r="J2134" s="498"/>
      <x:c r="K2134" s="498"/>
      <x:c r="L2134" s="498"/>
      <x:c r="M2134" s="498"/>
    </x:row>
    <x:row r="2135" ht="18" customHeight="1">
      <x:c r="A2135" s="498"/>
      <x:c r="B2135" s="498"/>
      <x:c r="C2135" s="498"/>
      <x:c r="D2135" s="498"/>
      <x:c r="E2135" s="498"/>
      <x:c r="F2135" s="498"/>
      <x:c r="G2135" s="498"/>
      <x:c r="H2135" s="498"/>
      <x:c r="I2135" s="498"/>
      <x:c r="J2135" s="498"/>
      <x:c r="K2135" s="498"/>
      <x:c r="L2135" s="498"/>
      <x:c r="M2135" s="498"/>
    </x:row>
    <x:row r="2136" ht="18" customHeight="1">
      <x:c r="A2136" s="498"/>
      <x:c r="B2136" s="498"/>
      <x:c r="C2136" s="498"/>
      <x:c r="D2136" s="498"/>
      <x:c r="E2136" s="498"/>
      <x:c r="F2136" s="498"/>
      <x:c r="G2136" s="498"/>
      <x:c r="H2136" s="498"/>
      <x:c r="I2136" s="498"/>
      <x:c r="J2136" s="498"/>
      <x:c r="K2136" s="498"/>
      <x:c r="L2136" s="498"/>
      <x:c r="M2136" s="498"/>
    </x:row>
    <x:row r="2137" ht="18" customHeight="1">
      <x:c r="A2137" s="498"/>
      <x:c r="B2137" s="498"/>
      <x:c r="C2137" s="498"/>
      <x:c r="D2137" s="498"/>
      <x:c r="E2137" s="498"/>
      <x:c r="F2137" s="498"/>
      <x:c r="G2137" s="498"/>
      <x:c r="H2137" s="498"/>
      <x:c r="I2137" s="498"/>
      <x:c r="J2137" s="498"/>
      <x:c r="K2137" s="498"/>
      <x:c r="L2137" s="498"/>
      <x:c r="M2137" s="498"/>
    </x:row>
    <x:row r="2138" ht="18" customHeight="1">
      <x:c r="A2138" s="498"/>
      <x:c r="B2138" s="498"/>
      <x:c r="C2138" s="498"/>
      <x:c r="D2138" s="498"/>
      <x:c r="E2138" s="498"/>
      <x:c r="F2138" s="498"/>
      <x:c r="G2138" s="498"/>
      <x:c r="H2138" s="498"/>
      <x:c r="I2138" s="498"/>
      <x:c r="J2138" s="498"/>
      <x:c r="K2138" s="498"/>
      <x:c r="L2138" s="498"/>
      <x:c r="M2138" s="498"/>
    </x:row>
    <x:row r="2139" ht="18" customHeight="1">
      <x:c r="A2139" s="498"/>
      <x:c r="B2139" s="498"/>
      <x:c r="C2139" s="498"/>
      <x:c r="D2139" s="498"/>
      <x:c r="E2139" s="498"/>
      <x:c r="F2139" s="498"/>
      <x:c r="G2139" s="498"/>
      <x:c r="H2139" s="498"/>
      <x:c r="I2139" s="498"/>
      <x:c r="J2139" s="498"/>
      <x:c r="K2139" s="498"/>
      <x:c r="L2139" s="498"/>
      <x:c r="M2139" s="498"/>
    </x:row>
    <x:row r="2140" ht="18" customHeight="1">
      <x:c r="A2140" s="498"/>
      <x:c r="B2140" s="498"/>
      <x:c r="C2140" s="498"/>
      <x:c r="D2140" s="498"/>
      <x:c r="E2140" s="498"/>
      <x:c r="F2140" s="498"/>
      <x:c r="G2140" s="498"/>
      <x:c r="H2140" s="498"/>
      <x:c r="I2140" s="498"/>
      <x:c r="J2140" s="498"/>
      <x:c r="K2140" s="498"/>
      <x:c r="L2140" s="498"/>
      <x:c r="M2140" s="498"/>
    </x:row>
    <x:row r="2141" ht="18" customHeight="1">
      <x:c r="A2141" s="498"/>
      <x:c r="B2141" s="498"/>
      <x:c r="C2141" s="498"/>
      <x:c r="D2141" s="498"/>
      <x:c r="E2141" s="498"/>
      <x:c r="F2141" s="498"/>
      <x:c r="G2141" s="498"/>
      <x:c r="H2141" s="498"/>
      <x:c r="I2141" s="498"/>
      <x:c r="J2141" s="498"/>
      <x:c r="K2141" s="498"/>
      <x:c r="L2141" s="498"/>
      <x:c r="M2141" s="498"/>
    </x:row>
    <x:row r="2142" ht="18" customHeight="1">
      <x:c r="A2142" s="498"/>
      <x:c r="B2142" s="498"/>
      <x:c r="C2142" s="498"/>
      <x:c r="D2142" s="498"/>
      <x:c r="E2142" s="498"/>
      <x:c r="F2142" s="498"/>
      <x:c r="G2142" s="498"/>
      <x:c r="H2142" s="498"/>
      <x:c r="I2142" s="498"/>
      <x:c r="J2142" s="498"/>
      <x:c r="K2142" s="498"/>
      <x:c r="L2142" s="498"/>
      <x:c r="M2142" s="498"/>
    </x:row>
    <x:row r="2143" ht="18" customHeight="1">
      <x:c r="A2143" s="498"/>
      <x:c r="B2143" s="498"/>
      <x:c r="C2143" s="498"/>
      <x:c r="D2143" s="498"/>
      <x:c r="E2143" s="498"/>
      <x:c r="F2143" s="498"/>
      <x:c r="G2143" s="498"/>
      <x:c r="H2143" s="498"/>
      <x:c r="I2143" s="498"/>
      <x:c r="J2143" s="498"/>
      <x:c r="K2143" s="498"/>
      <x:c r="L2143" s="498"/>
      <x:c r="M2143" s="498"/>
    </x:row>
    <x:row r="2144" ht="18" customHeight="1">
      <x:c r="A2144" s="498"/>
      <x:c r="B2144" s="498"/>
      <x:c r="C2144" s="498"/>
      <x:c r="D2144" s="498"/>
      <x:c r="E2144" s="498"/>
      <x:c r="F2144" s="498"/>
      <x:c r="G2144" s="498"/>
      <x:c r="H2144" s="498"/>
      <x:c r="I2144" s="498"/>
      <x:c r="J2144" s="498"/>
      <x:c r="K2144" s="498"/>
      <x:c r="L2144" s="498"/>
      <x:c r="M2144" s="498"/>
    </x:row>
    <x:row r="2145" ht="18" customHeight="1">
      <x:c r="A2145" s="498"/>
      <x:c r="B2145" s="498"/>
      <x:c r="C2145" s="498"/>
      <x:c r="D2145" s="498"/>
      <x:c r="E2145" s="498"/>
      <x:c r="F2145" s="498"/>
      <x:c r="G2145" s="498"/>
      <x:c r="H2145" s="498"/>
      <x:c r="I2145" s="498"/>
      <x:c r="J2145" s="498"/>
      <x:c r="K2145" s="498"/>
      <x:c r="L2145" s="498"/>
      <x:c r="M2145" s="498"/>
    </x:row>
    <x:row r="2146" ht="18" customHeight="1">
      <x:c r="A2146" s="498"/>
      <x:c r="B2146" s="498"/>
      <x:c r="C2146" s="498"/>
      <x:c r="D2146" s="498"/>
      <x:c r="E2146" s="498"/>
      <x:c r="F2146" s="498"/>
      <x:c r="G2146" s="498"/>
      <x:c r="H2146" s="498"/>
      <x:c r="I2146" s="498"/>
      <x:c r="J2146" s="498"/>
      <x:c r="K2146" s="498"/>
      <x:c r="L2146" s="498"/>
      <x:c r="M2146" s="498"/>
    </x:row>
    <x:row r="2147" ht="18" customHeight="1">
      <x:c r="A2147" s="498"/>
      <x:c r="B2147" s="498"/>
      <x:c r="C2147" s="498"/>
      <x:c r="D2147" s="498"/>
      <x:c r="E2147" s="498"/>
      <x:c r="F2147" s="498"/>
      <x:c r="G2147" s="498"/>
      <x:c r="H2147" s="498"/>
      <x:c r="I2147" s="498"/>
      <x:c r="J2147" s="498"/>
      <x:c r="K2147" s="498"/>
      <x:c r="L2147" s="498"/>
      <x:c r="M2147" s="498"/>
    </x:row>
    <x:row r="2148" ht="18" customHeight="1">
      <x:c r="A2148" s="498"/>
      <x:c r="B2148" s="498"/>
      <x:c r="C2148" s="498"/>
      <x:c r="D2148" s="498"/>
      <x:c r="E2148" s="498"/>
      <x:c r="F2148" s="498"/>
      <x:c r="G2148" s="498"/>
      <x:c r="H2148" s="498"/>
      <x:c r="I2148" s="498"/>
      <x:c r="J2148" s="498"/>
      <x:c r="K2148" s="498"/>
      <x:c r="L2148" s="498"/>
      <x:c r="M2148" s="498"/>
    </x:row>
    <x:row r="2149" ht="18" customHeight="1">
      <x:c r="A2149" s="498"/>
      <x:c r="B2149" s="498"/>
      <x:c r="C2149" s="498"/>
      <x:c r="D2149" s="498"/>
      <x:c r="E2149" s="498"/>
      <x:c r="F2149" s="498"/>
      <x:c r="G2149" s="498"/>
      <x:c r="H2149" s="498"/>
      <x:c r="I2149" s="498"/>
      <x:c r="J2149" s="498"/>
      <x:c r="K2149" s="498"/>
      <x:c r="L2149" s="498"/>
      <x:c r="M2149" s="498"/>
    </x:row>
    <x:row r="2150" ht="18" customHeight="1">
      <x:c r="A2150" s="498"/>
      <x:c r="B2150" s="498"/>
      <x:c r="C2150" s="498"/>
      <x:c r="D2150" s="498"/>
      <x:c r="E2150" s="498"/>
      <x:c r="F2150" s="498"/>
      <x:c r="G2150" s="498"/>
      <x:c r="H2150" s="498"/>
      <x:c r="I2150" s="498"/>
      <x:c r="J2150" s="498"/>
      <x:c r="K2150" s="498"/>
      <x:c r="L2150" s="498"/>
      <x:c r="M2150" s="498"/>
    </x:row>
    <x:row r="2151" ht="18" customHeight="1">
      <x:c r="A2151" s="498"/>
      <x:c r="B2151" s="498"/>
      <x:c r="C2151" s="498"/>
      <x:c r="D2151" s="498"/>
      <x:c r="E2151" s="498"/>
      <x:c r="F2151" s="498"/>
      <x:c r="G2151" s="498"/>
      <x:c r="H2151" s="498"/>
      <x:c r="I2151" s="498"/>
      <x:c r="J2151" s="498"/>
      <x:c r="K2151" s="498"/>
      <x:c r="L2151" s="498"/>
      <x:c r="M2151" s="498"/>
    </x:row>
    <x:row r="2152" ht="18" customHeight="1">
      <x:c r="A2152" s="498"/>
      <x:c r="B2152" s="498"/>
      <x:c r="C2152" s="498"/>
      <x:c r="D2152" s="498"/>
      <x:c r="E2152" s="498"/>
      <x:c r="F2152" s="498"/>
      <x:c r="G2152" s="498"/>
      <x:c r="H2152" s="498"/>
      <x:c r="I2152" s="498"/>
      <x:c r="J2152" s="498"/>
      <x:c r="K2152" s="498"/>
      <x:c r="L2152" s="498"/>
      <x:c r="M2152" s="498"/>
    </x:row>
    <x:row r="2153" ht="18" customHeight="1">
      <x:c r="A2153" s="498"/>
      <x:c r="B2153" s="498"/>
      <x:c r="C2153" s="498"/>
      <x:c r="D2153" s="498"/>
      <x:c r="E2153" s="498"/>
      <x:c r="F2153" s="498"/>
      <x:c r="G2153" s="498"/>
      <x:c r="H2153" s="498"/>
      <x:c r="I2153" s="498"/>
      <x:c r="J2153" s="498"/>
      <x:c r="K2153" s="498"/>
      <x:c r="L2153" s="498"/>
      <x:c r="M2153" s="498"/>
    </x:row>
    <x:row r="2154" ht="18" customHeight="1">
      <x:c r="A2154" s="498"/>
      <x:c r="B2154" s="498"/>
      <x:c r="C2154" s="498"/>
      <x:c r="D2154" s="498"/>
      <x:c r="E2154" s="498"/>
      <x:c r="F2154" s="498"/>
      <x:c r="G2154" s="498"/>
      <x:c r="H2154" s="498"/>
      <x:c r="I2154" s="498"/>
      <x:c r="J2154" s="498"/>
      <x:c r="K2154" s="498"/>
      <x:c r="L2154" s="498"/>
      <x:c r="M2154" s="498"/>
    </x:row>
    <x:row r="2155" ht="18" customHeight="1">
      <x:c r="A2155" s="498"/>
      <x:c r="B2155" s="498"/>
      <x:c r="C2155" s="498"/>
      <x:c r="D2155" s="498"/>
      <x:c r="E2155" s="498"/>
      <x:c r="F2155" s="498"/>
      <x:c r="G2155" s="498"/>
      <x:c r="H2155" s="498"/>
      <x:c r="I2155" s="498"/>
      <x:c r="J2155" s="498"/>
      <x:c r="K2155" s="498"/>
      <x:c r="L2155" s="498"/>
      <x:c r="M2155" s="498"/>
    </x:row>
    <x:row r="2156" ht="18" customHeight="1">
      <x:c r="A2156" s="498"/>
      <x:c r="B2156" s="498"/>
      <x:c r="C2156" s="498"/>
      <x:c r="D2156" s="498"/>
      <x:c r="E2156" s="498"/>
      <x:c r="F2156" s="498"/>
      <x:c r="G2156" s="498"/>
      <x:c r="H2156" s="498"/>
      <x:c r="I2156" s="498"/>
      <x:c r="J2156" s="498"/>
      <x:c r="K2156" s="498"/>
      <x:c r="L2156" s="498"/>
      <x:c r="M2156" s="498"/>
    </x:row>
    <x:row r="2157" ht="18" customHeight="1">
      <x:c r="A2157" s="498"/>
      <x:c r="B2157" s="498"/>
      <x:c r="C2157" s="498"/>
      <x:c r="D2157" s="498"/>
      <x:c r="E2157" s="498"/>
      <x:c r="F2157" s="498"/>
      <x:c r="G2157" s="498"/>
      <x:c r="H2157" s="498"/>
      <x:c r="I2157" s="498"/>
      <x:c r="J2157" s="498"/>
      <x:c r="K2157" s="498"/>
      <x:c r="L2157" s="498"/>
      <x:c r="M2157" s="498"/>
    </x:row>
    <x:row r="2158" ht="18" customHeight="1">
      <x:c r="A2158" s="498"/>
      <x:c r="B2158" s="498"/>
      <x:c r="C2158" s="498"/>
      <x:c r="D2158" s="498"/>
      <x:c r="E2158" s="498"/>
      <x:c r="F2158" s="498"/>
      <x:c r="G2158" s="498"/>
      <x:c r="H2158" s="498"/>
      <x:c r="I2158" s="498"/>
      <x:c r="J2158" s="498"/>
      <x:c r="K2158" s="498"/>
      <x:c r="L2158" s="498"/>
      <x:c r="M2158" s="498"/>
    </x:row>
    <x:row r="2159" ht="18" customHeight="1">
      <x:c r="A2159" s="498"/>
      <x:c r="B2159" s="498"/>
      <x:c r="C2159" s="498"/>
      <x:c r="D2159" s="498"/>
      <x:c r="E2159" s="498"/>
      <x:c r="F2159" s="498"/>
      <x:c r="G2159" s="498"/>
      <x:c r="H2159" s="498"/>
      <x:c r="I2159" s="498"/>
      <x:c r="J2159" s="498"/>
      <x:c r="K2159" s="498"/>
      <x:c r="L2159" s="498"/>
      <x:c r="M2159" s="498"/>
    </x:row>
    <x:row r="2160" ht="18" customHeight="1">
      <x:c r="A2160" s="498"/>
      <x:c r="B2160" s="498"/>
      <x:c r="C2160" s="498"/>
      <x:c r="D2160" s="498"/>
      <x:c r="E2160" s="498"/>
      <x:c r="F2160" s="498"/>
      <x:c r="G2160" s="498"/>
      <x:c r="H2160" s="498"/>
      <x:c r="I2160" s="498"/>
      <x:c r="J2160" s="498"/>
      <x:c r="K2160" s="498"/>
      <x:c r="L2160" s="498"/>
      <x:c r="M2160" s="498"/>
    </x:row>
    <x:row r="2161" ht="18" customHeight="1">
      <x:c r="A2161" s="498"/>
      <x:c r="B2161" s="498"/>
      <x:c r="C2161" s="498"/>
      <x:c r="D2161" s="498"/>
      <x:c r="E2161" s="498"/>
      <x:c r="F2161" s="498"/>
      <x:c r="G2161" s="498"/>
      <x:c r="H2161" s="498"/>
      <x:c r="I2161" s="498"/>
      <x:c r="J2161" s="498"/>
      <x:c r="K2161" s="498"/>
      <x:c r="L2161" s="498"/>
      <x:c r="M2161" s="498"/>
    </x:row>
    <x:row r="2162" ht="18" customHeight="1">
      <x:c r="A2162" s="498"/>
      <x:c r="B2162" s="498"/>
      <x:c r="C2162" s="498"/>
      <x:c r="D2162" s="498"/>
      <x:c r="E2162" s="498"/>
      <x:c r="F2162" s="498"/>
      <x:c r="G2162" s="498"/>
      <x:c r="H2162" s="498"/>
      <x:c r="I2162" s="498"/>
      <x:c r="J2162" s="498"/>
      <x:c r="K2162" s="498"/>
      <x:c r="L2162" s="498"/>
      <x:c r="M2162" s="498"/>
    </x:row>
    <x:row r="2163" ht="18" customHeight="1">
      <x:c r="A2163" s="498"/>
      <x:c r="B2163" s="498"/>
      <x:c r="C2163" s="498"/>
      <x:c r="D2163" s="498"/>
      <x:c r="E2163" s="498"/>
      <x:c r="F2163" s="498"/>
      <x:c r="G2163" s="498"/>
      <x:c r="H2163" s="498"/>
      <x:c r="I2163" s="498"/>
      <x:c r="J2163" s="498"/>
      <x:c r="K2163" s="498"/>
      <x:c r="L2163" s="498"/>
      <x:c r="M2163" s="498"/>
    </x:row>
    <x:row r="2164" ht="18" customHeight="1">
      <x:c r="A2164" s="498"/>
      <x:c r="B2164" s="498"/>
      <x:c r="C2164" s="498"/>
      <x:c r="D2164" s="498"/>
      <x:c r="E2164" s="498"/>
      <x:c r="F2164" s="498"/>
      <x:c r="G2164" s="498"/>
      <x:c r="H2164" s="498"/>
      <x:c r="I2164" s="498"/>
      <x:c r="J2164" s="498"/>
      <x:c r="K2164" s="498"/>
      <x:c r="L2164" s="498"/>
      <x:c r="M2164" s="498"/>
    </x:row>
    <x:row r="2165" ht="18" customHeight="1">
      <x:c r="A2165" s="498"/>
      <x:c r="B2165" s="498"/>
      <x:c r="C2165" s="498"/>
      <x:c r="D2165" s="498"/>
      <x:c r="E2165" s="498"/>
      <x:c r="F2165" s="498"/>
      <x:c r="G2165" s="498"/>
      <x:c r="H2165" s="498"/>
      <x:c r="I2165" s="498"/>
      <x:c r="J2165" s="498"/>
      <x:c r="K2165" s="498"/>
      <x:c r="L2165" s="498"/>
      <x:c r="M2165" s="498"/>
    </x:row>
    <x:row r="2166" ht="18" customHeight="1">
      <x:c r="A2166" s="498"/>
      <x:c r="B2166" s="498"/>
      <x:c r="C2166" s="498"/>
      <x:c r="D2166" s="498"/>
      <x:c r="E2166" s="498"/>
      <x:c r="F2166" s="498"/>
      <x:c r="G2166" s="498"/>
      <x:c r="H2166" s="498"/>
      <x:c r="I2166" s="498"/>
      <x:c r="J2166" s="498"/>
      <x:c r="K2166" s="498"/>
      <x:c r="L2166" s="498"/>
      <x:c r="M2166" s="498"/>
    </x:row>
    <x:row r="2167" ht="18" customHeight="1">
      <x:c r="A2167" s="498"/>
      <x:c r="B2167" s="498"/>
      <x:c r="C2167" s="498"/>
      <x:c r="D2167" s="498"/>
      <x:c r="E2167" s="498"/>
      <x:c r="F2167" s="498"/>
      <x:c r="G2167" s="498"/>
      <x:c r="H2167" s="498"/>
      <x:c r="I2167" s="498"/>
      <x:c r="J2167" s="498"/>
      <x:c r="K2167" s="498"/>
      <x:c r="L2167" s="498"/>
      <x:c r="M2167" s="498"/>
    </x:row>
    <x:row r="2168" ht="18" customHeight="1">
      <x:c r="A2168" s="498"/>
      <x:c r="B2168" s="498"/>
      <x:c r="C2168" s="498"/>
      <x:c r="D2168" s="498"/>
      <x:c r="E2168" s="498"/>
      <x:c r="F2168" s="498"/>
      <x:c r="G2168" s="498"/>
      <x:c r="H2168" s="498"/>
      <x:c r="I2168" s="498"/>
      <x:c r="J2168" s="498"/>
      <x:c r="K2168" s="498"/>
      <x:c r="L2168" s="498"/>
      <x:c r="M2168" s="498"/>
    </x:row>
    <x:row r="2169" ht="18" customHeight="1">
      <x:c r="A2169" s="498"/>
      <x:c r="B2169" s="498"/>
      <x:c r="C2169" s="498"/>
      <x:c r="D2169" s="498"/>
      <x:c r="E2169" s="498"/>
      <x:c r="F2169" s="498"/>
      <x:c r="G2169" s="498"/>
      <x:c r="H2169" s="498"/>
      <x:c r="I2169" s="498"/>
      <x:c r="J2169" s="498"/>
      <x:c r="K2169" s="498"/>
      <x:c r="L2169" s="498"/>
      <x:c r="M2169" s="498"/>
    </x:row>
    <x:row r="2170" ht="18" customHeight="1">
      <x:c r="A2170" s="498"/>
      <x:c r="B2170" s="498"/>
      <x:c r="C2170" s="498"/>
      <x:c r="D2170" s="498"/>
      <x:c r="E2170" s="498"/>
      <x:c r="F2170" s="498"/>
      <x:c r="G2170" s="498"/>
      <x:c r="H2170" s="498"/>
      <x:c r="I2170" s="498"/>
      <x:c r="J2170" s="498"/>
      <x:c r="K2170" s="498"/>
      <x:c r="L2170" s="498"/>
      <x:c r="M2170" s="498"/>
    </x:row>
    <x:row r="2171" ht="18" customHeight="1">
      <x:c r="A2171" s="498"/>
      <x:c r="B2171" s="498"/>
      <x:c r="C2171" s="498"/>
      <x:c r="D2171" s="498"/>
      <x:c r="E2171" s="498"/>
      <x:c r="F2171" s="498"/>
      <x:c r="G2171" s="498"/>
      <x:c r="H2171" s="498"/>
      <x:c r="I2171" s="498"/>
      <x:c r="J2171" s="498"/>
      <x:c r="K2171" s="498"/>
      <x:c r="L2171" s="498"/>
      <x:c r="M2171" s="498"/>
    </x:row>
    <x:row r="2172" ht="18" customHeight="1">
      <x:c r="A2172" s="498"/>
      <x:c r="B2172" s="498"/>
      <x:c r="C2172" s="498"/>
      <x:c r="D2172" s="498"/>
      <x:c r="E2172" s="498"/>
      <x:c r="F2172" s="498"/>
      <x:c r="G2172" s="498"/>
      <x:c r="H2172" s="498"/>
      <x:c r="I2172" s="498"/>
      <x:c r="J2172" s="498"/>
      <x:c r="K2172" s="498"/>
      <x:c r="L2172" s="498"/>
      <x:c r="M2172" s="498"/>
    </x:row>
    <x:row r="2173" ht="18" customHeight="1">
      <x:c r="A2173" s="498"/>
      <x:c r="B2173" s="498"/>
      <x:c r="C2173" s="498"/>
      <x:c r="D2173" s="498"/>
      <x:c r="E2173" s="498"/>
      <x:c r="F2173" s="498"/>
      <x:c r="G2173" s="498"/>
      <x:c r="H2173" s="498"/>
      <x:c r="I2173" s="498"/>
      <x:c r="J2173" s="498"/>
      <x:c r="K2173" s="498"/>
      <x:c r="L2173" s="498"/>
      <x:c r="M2173" s="498"/>
    </x:row>
    <x:row r="2174" ht="18" customHeight="1">
      <x:c r="A2174" s="498"/>
      <x:c r="B2174" s="498"/>
      <x:c r="C2174" s="498"/>
      <x:c r="D2174" s="498"/>
      <x:c r="E2174" s="498"/>
      <x:c r="F2174" s="498"/>
      <x:c r="G2174" s="498"/>
      <x:c r="H2174" s="498"/>
      <x:c r="I2174" s="498"/>
      <x:c r="J2174" s="498"/>
      <x:c r="K2174" s="498"/>
      <x:c r="L2174" s="498"/>
      <x:c r="M2174" s="498"/>
    </x:row>
    <x:row r="2175" ht="18" customHeight="1">
      <x:c r="A2175" s="498"/>
      <x:c r="B2175" s="498"/>
      <x:c r="C2175" s="498"/>
      <x:c r="D2175" s="498"/>
      <x:c r="E2175" s="498"/>
      <x:c r="F2175" s="498"/>
      <x:c r="G2175" s="498"/>
      <x:c r="H2175" s="498"/>
      <x:c r="I2175" s="498"/>
      <x:c r="J2175" s="498"/>
      <x:c r="K2175" s="498"/>
      <x:c r="L2175" s="498"/>
      <x:c r="M2175" s="498"/>
    </x:row>
    <x:row r="2176" ht="18" customHeight="1">
      <x:c r="A2176" s="498"/>
      <x:c r="B2176" s="498"/>
      <x:c r="C2176" s="498"/>
      <x:c r="D2176" s="498"/>
      <x:c r="E2176" s="498"/>
      <x:c r="F2176" s="498"/>
      <x:c r="G2176" s="498"/>
      <x:c r="H2176" s="498"/>
      <x:c r="I2176" s="498"/>
      <x:c r="J2176" s="498"/>
      <x:c r="K2176" s="498"/>
      <x:c r="L2176" s="498"/>
      <x:c r="M2176" s="498"/>
    </x:row>
    <x:row r="2177" ht="18" customHeight="1">
      <x:c r="A2177" s="498"/>
      <x:c r="B2177" s="498"/>
      <x:c r="C2177" s="498"/>
      <x:c r="D2177" s="498"/>
      <x:c r="E2177" s="498"/>
      <x:c r="F2177" s="498"/>
      <x:c r="G2177" s="498"/>
      <x:c r="H2177" s="498"/>
      <x:c r="I2177" s="498"/>
      <x:c r="J2177" s="498"/>
      <x:c r="K2177" s="498"/>
      <x:c r="L2177" s="498"/>
      <x:c r="M2177" s="498"/>
    </x:row>
    <x:row r="2178" ht="18" customHeight="1">
      <x:c r="A2178" s="498"/>
      <x:c r="B2178" s="498"/>
      <x:c r="C2178" s="498"/>
      <x:c r="D2178" s="498"/>
      <x:c r="E2178" s="498"/>
      <x:c r="F2178" s="498"/>
      <x:c r="G2178" s="498"/>
      <x:c r="H2178" s="498"/>
      <x:c r="I2178" s="498"/>
      <x:c r="J2178" s="498"/>
      <x:c r="K2178" s="498"/>
      <x:c r="L2178" s="498"/>
      <x:c r="M2178" s="498"/>
    </x:row>
    <x:row r="2179" ht="18" customHeight="1">
      <x:c r="A2179" s="498"/>
      <x:c r="B2179" s="498"/>
      <x:c r="C2179" s="498"/>
      <x:c r="D2179" s="498"/>
      <x:c r="E2179" s="498"/>
      <x:c r="F2179" s="498"/>
      <x:c r="G2179" s="498"/>
      <x:c r="H2179" s="498"/>
      <x:c r="I2179" s="498"/>
      <x:c r="J2179" s="498"/>
      <x:c r="K2179" s="498"/>
      <x:c r="L2179" s="498"/>
      <x:c r="M2179" s="498"/>
    </x:row>
    <x:row r="2180" ht="18" customHeight="1">
      <x:c r="A2180" s="498"/>
      <x:c r="B2180" s="498"/>
      <x:c r="C2180" s="498"/>
      <x:c r="D2180" s="498"/>
      <x:c r="E2180" s="498"/>
      <x:c r="F2180" s="498"/>
      <x:c r="G2180" s="498"/>
      <x:c r="H2180" s="498"/>
      <x:c r="I2180" s="498"/>
      <x:c r="J2180" s="498"/>
      <x:c r="K2180" s="498"/>
      <x:c r="L2180" s="498"/>
      <x:c r="M2180" s="498"/>
    </x:row>
    <x:row r="2181" ht="18" customHeight="1">
      <x:c r="A2181" s="498"/>
      <x:c r="B2181" s="498"/>
      <x:c r="C2181" s="498"/>
      <x:c r="D2181" s="498"/>
      <x:c r="E2181" s="498"/>
      <x:c r="F2181" s="498"/>
      <x:c r="G2181" s="498"/>
      <x:c r="H2181" s="498"/>
      <x:c r="I2181" s="498"/>
      <x:c r="J2181" s="498"/>
      <x:c r="K2181" s="498"/>
      <x:c r="L2181" s="498"/>
      <x:c r="M2181" s="498"/>
    </x:row>
    <x:row r="2182" ht="18" customHeight="1">
      <x:c r="A2182" s="498"/>
      <x:c r="B2182" s="498"/>
      <x:c r="C2182" s="498"/>
      <x:c r="D2182" s="498"/>
      <x:c r="E2182" s="498"/>
      <x:c r="F2182" s="498"/>
      <x:c r="G2182" s="498"/>
      <x:c r="H2182" s="498"/>
      <x:c r="I2182" s="498"/>
      <x:c r="J2182" s="498"/>
      <x:c r="K2182" s="498"/>
      <x:c r="L2182" s="498"/>
      <x:c r="M2182" s="498"/>
    </x:row>
    <x:row r="2183" ht="18" customHeight="1">
      <x:c r="A2183" s="498"/>
      <x:c r="B2183" s="498"/>
      <x:c r="C2183" s="498"/>
      <x:c r="D2183" s="498"/>
      <x:c r="E2183" s="498"/>
      <x:c r="F2183" s="498"/>
      <x:c r="G2183" s="498"/>
      <x:c r="H2183" s="498"/>
      <x:c r="I2183" s="498"/>
      <x:c r="J2183" s="498"/>
      <x:c r="K2183" s="498"/>
      <x:c r="L2183" s="498"/>
      <x:c r="M2183" s="498"/>
    </x:row>
    <x:row r="2184" ht="18" customHeight="1">
      <x:c r="A2184" s="498"/>
      <x:c r="B2184" s="498"/>
      <x:c r="C2184" s="498"/>
      <x:c r="D2184" s="498"/>
      <x:c r="E2184" s="498"/>
      <x:c r="F2184" s="498"/>
      <x:c r="G2184" s="498"/>
      <x:c r="H2184" s="498"/>
      <x:c r="I2184" s="498"/>
      <x:c r="J2184" s="498"/>
      <x:c r="K2184" s="498"/>
      <x:c r="L2184" s="498"/>
      <x:c r="M2184" s="498"/>
    </x:row>
    <x:row r="2185" ht="18" customHeight="1">
      <x:c r="A2185" s="498"/>
      <x:c r="B2185" s="498"/>
      <x:c r="C2185" s="498"/>
      <x:c r="D2185" s="498"/>
      <x:c r="E2185" s="498"/>
      <x:c r="F2185" s="498"/>
      <x:c r="G2185" s="498"/>
      <x:c r="H2185" s="498"/>
      <x:c r="I2185" s="498"/>
      <x:c r="J2185" s="498"/>
      <x:c r="K2185" s="498"/>
      <x:c r="L2185" s="498"/>
      <x:c r="M2185" s="498"/>
    </x:row>
    <x:row r="2186" ht="18" customHeight="1">
      <x:c r="A2186" s="498"/>
      <x:c r="B2186" s="498"/>
      <x:c r="C2186" s="498"/>
      <x:c r="D2186" s="498"/>
      <x:c r="E2186" s="498"/>
      <x:c r="F2186" s="498"/>
      <x:c r="G2186" s="498"/>
      <x:c r="H2186" s="498"/>
      <x:c r="I2186" s="498"/>
      <x:c r="J2186" s="498"/>
      <x:c r="K2186" s="498"/>
      <x:c r="L2186" s="498"/>
      <x:c r="M2186" s="498"/>
    </x:row>
    <x:row r="2187" ht="18" customHeight="1">
      <x:c r="A2187" s="498"/>
      <x:c r="B2187" s="498"/>
      <x:c r="C2187" s="498"/>
      <x:c r="D2187" s="498"/>
      <x:c r="E2187" s="498"/>
      <x:c r="F2187" s="498"/>
      <x:c r="G2187" s="498"/>
      <x:c r="H2187" s="498"/>
      <x:c r="I2187" s="498"/>
      <x:c r="J2187" s="498"/>
      <x:c r="K2187" s="498"/>
      <x:c r="L2187" s="498"/>
      <x:c r="M2187" s="498"/>
    </x:row>
    <x:row r="2188" ht="18" customHeight="1">
      <x:c r="A2188" s="498"/>
      <x:c r="B2188" s="498"/>
      <x:c r="C2188" s="498"/>
      <x:c r="D2188" s="498"/>
      <x:c r="E2188" s="498"/>
      <x:c r="F2188" s="498"/>
      <x:c r="G2188" s="498"/>
      <x:c r="H2188" s="498"/>
      <x:c r="I2188" s="498"/>
      <x:c r="J2188" s="498"/>
      <x:c r="K2188" s="498"/>
      <x:c r="L2188" s="498"/>
      <x:c r="M2188" s="498"/>
    </x:row>
    <x:row r="2189" ht="18" customHeight="1">
      <x:c r="A2189" s="498"/>
      <x:c r="B2189" s="498"/>
      <x:c r="C2189" s="498"/>
      <x:c r="D2189" s="498"/>
      <x:c r="E2189" s="498"/>
      <x:c r="F2189" s="498"/>
      <x:c r="G2189" s="498"/>
      <x:c r="H2189" s="498"/>
      <x:c r="I2189" s="498"/>
      <x:c r="J2189" s="498"/>
      <x:c r="K2189" s="498"/>
      <x:c r="L2189" s="498"/>
      <x:c r="M2189" s="498"/>
    </x:row>
    <x:row r="2190" ht="18" customHeight="1">
      <x:c r="A2190" s="498"/>
      <x:c r="B2190" s="498"/>
      <x:c r="C2190" s="498"/>
      <x:c r="D2190" s="498"/>
      <x:c r="E2190" s="498"/>
      <x:c r="F2190" s="498"/>
      <x:c r="G2190" s="498"/>
      <x:c r="H2190" s="498"/>
      <x:c r="I2190" s="498"/>
      <x:c r="J2190" s="498"/>
      <x:c r="K2190" s="498"/>
      <x:c r="L2190" s="498"/>
      <x:c r="M2190" s="498"/>
    </x:row>
    <x:row r="2191" ht="18" customHeight="1">
      <x:c r="A2191" s="498"/>
      <x:c r="B2191" s="498"/>
      <x:c r="C2191" s="498"/>
      <x:c r="D2191" s="498"/>
      <x:c r="E2191" s="498"/>
      <x:c r="F2191" s="498"/>
      <x:c r="G2191" s="498"/>
      <x:c r="H2191" s="498"/>
      <x:c r="I2191" s="498"/>
      <x:c r="J2191" s="498"/>
      <x:c r="K2191" s="498"/>
      <x:c r="L2191" s="498"/>
      <x:c r="M2191" s="498"/>
    </x:row>
    <x:row r="2192" ht="18" customHeight="1">
      <x:c r="A2192" s="498"/>
      <x:c r="B2192" s="498"/>
      <x:c r="C2192" s="498"/>
      <x:c r="D2192" s="498"/>
      <x:c r="E2192" s="498"/>
      <x:c r="F2192" s="498"/>
      <x:c r="G2192" s="498"/>
      <x:c r="H2192" s="498"/>
      <x:c r="I2192" s="498"/>
      <x:c r="J2192" s="498"/>
      <x:c r="K2192" s="498"/>
      <x:c r="L2192" s="498"/>
      <x:c r="M2192" s="498"/>
    </x:row>
    <x:row r="2193" ht="18" customHeight="1">
      <x:c r="A2193" s="498"/>
      <x:c r="B2193" s="498"/>
      <x:c r="C2193" s="498"/>
      <x:c r="D2193" s="498"/>
      <x:c r="E2193" s="498"/>
      <x:c r="F2193" s="498"/>
      <x:c r="G2193" s="498"/>
      <x:c r="H2193" s="498"/>
      <x:c r="I2193" s="498"/>
      <x:c r="J2193" s="498"/>
      <x:c r="K2193" s="498"/>
      <x:c r="L2193" s="498"/>
      <x:c r="M2193" s="498"/>
    </x:row>
    <x:row r="2194" ht="18" customHeight="1">
      <x:c r="A2194" s="498"/>
      <x:c r="B2194" s="498"/>
      <x:c r="C2194" s="498"/>
      <x:c r="D2194" s="498"/>
      <x:c r="E2194" s="498"/>
      <x:c r="F2194" s="498"/>
      <x:c r="G2194" s="498"/>
      <x:c r="H2194" s="498"/>
      <x:c r="I2194" s="498"/>
      <x:c r="J2194" s="498"/>
      <x:c r="K2194" s="498"/>
      <x:c r="L2194" s="498"/>
      <x:c r="M2194" s="498"/>
    </x:row>
    <x:row r="2195" ht="18" customHeight="1">
      <x:c r="A2195" s="498"/>
      <x:c r="B2195" s="498"/>
      <x:c r="C2195" s="498"/>
      <x:c r="D2195" s="498"/>
      <x:c r="E2195" s="498"/>
      <x:c r="F2195" s="498"/>
      <x:c r="G2195" s="498"/>
      <x:c r="H2195" s="498"/>
      <x:c r="I2195" s="498"/>
      <x:c r="J2195" s="498"/>
      <x:c r="K2195" s="498"/>
      <x:c r="L2195" s="498"/>
      <x:c r="M2195" s="498"/>
    </x:row>
    <x:row r="2196" ht="18" customHeight="1">
      <x:c r="A2196" s="498"/>
      <x:c r="B2196" s="498"/>
      <x:c r="C2196" s="498"/>
      <x:c r="D2196" s="498"/>
      <x:c r="E2196" s="498"/>
      <x:c r="F2196" s="498"/>
      <x:c r="G2196" s="498"/>
      <x:c r="H2196" s="498"/>
      <x:c r="I2196" s="498"/>
      <x:c r="J2196" s="498"/>
      <x:c r="K2196" s="498"/>
      <x:c r="L2196" s="498"/>
      <x:c r="M2196" s="498"/>
    </x:row>
    <x:row r="2197" ht="18" customHeight="1">
      <x:c r="A2197" s="498"/>
      <x:c r="B2197" s="498"/>
      <x:c r="C2197" s="498"/>
      <x:c r="D2197" s="498"/>
      <x:c r="E2197" s="498"/>
      <x:c r="F2197" s="498"/>
      <x:c r="G2197" s="498"/>
      <x:c r="H2197" s="498"/>
      <x:c r="I2197" s="498"/>
      <x:c r="J2197" s="498"/>
      <x:c r="K2197" s="498"/>
      <x:c r="L2197" s="498"/>
      <x:c r="M2197" s="498"/>
    </x:row>
    <x:row r="2198" ht="18" customHeight="1">
      <x:c r="A2198" s="498"/>
      <x:c r="B2198" s="498"/>
      <x:c r="C2198" s="498"/>
      <x:c r="D2198" s="498"/>
      <x:c r="E2198" s="498"/>
      <x:c r="F2198" s="498"/>
      <x:c r="G2198" s="498"/>
      <x:c r="H2198" s="498"/>
      <x:c r="I2198" s="498"/>
      <x:c r="J2198" s="498"/>
      <x:c r="K2198" s="498"/>
      <x:c r="L2198" s="498"/>
      <x:c r="M2198" s="498"/>
    </x:row>
    <x:row r="2199" ht="18" customHeight="1">
      <x:c r="A2199" s="498"/>
      <x:c r="B2199" s="498"/>
      <x:c r="C2199" s="498"/>
      <x:c r="D2199" s="498"/>
      <x:c r="E2199" s="498"/>
      <x:c r="F2199" s="498"/>
      <x:c r="G2199" s="498"/>
      <x:c r="H2199" s="498"/>
      <x:c r="I2199" s="498"/>
      <x:c r="J2199" s="498"/>
      <x:c r="K2199" s="498"/>
      <x:c r="L2199" s="498"/>
      <x:c r="M2199" s="498"/>
    </x:row>
    <x:row r="2200" ht="18" customHeight="1">
      <x:c r="A2200" s="498"/>
      <x:c r="B2200" s="498"/>
      <x:c r="C2200" s="498"/>
      <x:c r="D2200" s="498"/>
      <x:c r="E2200" s="498"/>
      <x:c r="F2200" s="498"/>
      <x:c r="G2200" s="498"/>
      <x:c r="H2200" s="498"/>
      <x:c r="I2200" s="498"/>
      <x:c r="J2200" s="498"/>
      <x:c r="K2200" s="498"/>
      <x:c r="L2200" s="498"/>
      <x:c r="M2200" s="498"/>
    </x:row>
    <x:row r="2201" ht="18" customHeight="1">
      <x:c r="A2201" s="498"/>
      <x:c r="B2201" s="498"/>
      <x:c r="C2201" s="498"/>
      <x:c r="D2201" s="498"/>
      <x:c r="E2201" s="498"/>
      <x:c r="F2201" s="498"/>
      <x:c r="G2201" s="498"/>
      <x:c r="H2201" s="498"/>
      <x:c r="I2201" s="498"/>
      <x:c r="J2201" s="498"/>
      <x:c r="K2201" s="498"/>
      <x:c r="L2201" s="498"/>
      <x:c r="M2201" s="498"/>
    </x:row>
    <x:row r="2202" ht="18" customHeight="1">
      <x:c r="A2202" s="498"/>
      <x:c r="B2202" s="498"/>
      <x:c r="C2202" s="498"/>
      <x:c r="D2202" s="498"/>
      <x:c r="E2202" s="498"/>
      <x:c r="F2202" s="498"/>
      <x:c r="G2202" s="498"/>
      <x:c r="H2202" s="498"/>
      <x:c r="I2202" s="498"/>
      <x:c r="J2202" s="498"/>
      <x:c r="K2202" s="498"/>
      <x:c r="L2202" s="498"/>
      <x:c r="M2202" s="498"/>
    </x:row>
    <x:row r="2203" ht="18" customHeight="1">
      <x:c r="A2203" s="498"/>
      <x:c r="B2203" s="498"/>
      <x:c r="C2203" s="498"/>
      <x:c r="D2203" s="498"/>
      <x:c r="E2203" s="498"/>
      <x:c r="F2203" s="498"/>
      <x:c r="G2203" s="498"/>
      <x:c r="H2203" s="498"/>
      <x:c r="I2203" s="498"/>
      <x:c r="J2203" s="498"/>
      <x:c r="K2203" s="498"/>
      <x:c r="L2203" s="498"/>
      <x:c r="M2203" s="498"/>
    </x:row>
    <x:row r="2204" ht="18" customHeight="1">
      <x:c r="A2204" s="498"/>
      <x:c r="B2204" s="498"/>
      <x:c r="C2204" s="498"/>
      <x:c r="D2204" s="498"/>
      <x:c r="E2204" s="498"/>
      <x:c r="F2204" s="498"/>
      <x:c r="G2204" s="498"/>
      <x:c r="H2204" s="498"/>
      <x:c r="I2204" s="498"/>
      <x:c r="J2204" s="498"/>
      <x:c r="K2204" s="498"/>
      <x:c r="L2204" s="498"/>
      <x:c r="M2204" s="498"/>
    </x:row>
    <x:row r="2205" ht="18" customHeight="1">
      <x:c r="A2205" s="498"/>
      <x:c r="B2205" s="498"/>
      <x:c r="C2205" s="498"/>
      <x:c r="D2205" s="498"/>
      <x:c r="E2205" s="498"/>
      <x:c r="F2205" s="498"/>
      <x:c r="G2205" s="498"/>
      <x:c r="H2205" s="498"/>
      <x:c r="I2205" s="498"/>
      <x:c r="J2205" s="498"/>
      <x:c r="K2205" s="498"/>
      <x:c r="L2205" s="498"/>
      <x:c r="M2205" s="498"/>
    </x:row>
    <x:row r="2206" ht="18" customHeight="1">
      <x:c r="A2206" s="498"/>
      <x:c r="B2206" s="498"/>
      <x:c r="C2206" s="498"/>
      <x:c r="D2206" s="498"/>
      <x:c r="E2206" s="498"/>
      <x:c r="F2206" s="498"/>
      <x:c r="G2206" s="498"/>
      <x:c r="H2206" s="498"/>
      <x:c r="I2206" s="498"/>
      <x:c r="J2206" s="498"/>
      <x:c r="K2206" s="498"/>
      <x:c r="L2206" s="498"/>
      <x:c r="M2206" s="498"/>
    </x:row>
    <x:row r="2207" ht="18" customHeight="1">
      <x:c r="A2207" s="498"/>
      <x:c r="B2207" s="498"/>
      <x:c r="C2207" s="498"/>
      <x:c r="D2207" s="498"/>
      <x:c r="E2207" s="498"/>
      <x:c r="F2207" s="498"/>
      <x:c r="G2207" s="498"/>
      <x:c r="H2207" s="498"/>
      <x:c r="I2207" s="498"/>
      <x:c r="J2207" s="498"/>
      <x:c r="K2207" s="498"/>
      <x:c r="L2207" s="498"/>
      <x:c r="M2207" s="498"/>
    </x:row>
    <x:row r="2208" ht="18" customHeight="1">
      <x:c r="A2208" s="498"/>
      <x:c r="B2208" s="498"/>
      <x:c r="C2208" s="498"/>
      <x:c r="D2208" s="498"/>
      <x:c r="E2208" s="498"/>
      <x:c r="F2208" s="498"/>
      <x:c r="G2208" s="498"/>
      <x:c r="H2208" s="498"/>
      <x:c r="I2208" s="498"/>
      <x:c r="J2208" s="498"/>
      <x:c r="K2208" s="498"/>
      <x:c r="L2208" s="498"/>
      <x:c r="M2208" s="498"/>
    </x:row>
    <x:row r="2209" ht="18" customHeight="1">
      <x:c r="A2209" s="498"/>
      <x:c r="B2209" s="498"/>
      <x:c r="C2209" s="498"/>
      <x:c r="D2209" s="498"/>
      <x:c r="E2209" s="498"/>
      <x:c r="F2209" s="498"/>
      <x:c r="G2209" s="498"/>
      <x:c r="H2209" s="498"/>
      <x:c r="I2209" s="498"/>
      <x:c r="J2209" s="498"/>
      <x:c r="K2209" s="498"/>
      <x:c r="L2209" s="498"/>
      <x:c r="M2209" s="498"/>
    </x:row>
    <x:row r="2210" ht="18" customHeight="1">
      <x:c r="A2210" s="498"/>
      <x:c r="B2210" s="498"/>
      <x:c r="C2210" s="498"/>
      <x:c r="D2210" s="498"/>
      <x:c r="E2210" s="498"/>
      <x:c r="F2210" s="498"/>
      <x:c r="G2210" s="498"/>
      <x:c r="H2210" s="498"/>
      <x:c r="I2210" s="498"/>
      <x:c r="J2210" s="498"/>
      <x:c r="K2210" s="498"/>
      <x:c r="L2210" s="498"/>
      <x:c r="M2210" s="498"/>
    </x:row>
    <x:row r="2211" ht="18" customHeight="1">
      <x:c r="A2211" s="498"/>
      <x:c r="B2211" s="498"/>
      <x:c r="C2211" s="498"/>
      <x:c r="D2211" s="498"/>
      <x:c r="E2211" s="498"/>
      <x:c r="F2211" s="498"/>
      <x:c r="G2211" s="498"/>
      <x:c r="H2211" s="498"/>
      <x:c r="I2211" s="498"/>
      <x:c r="J2211" s="498"/>
      <x:c r="K2211" s="498"/>
      <x:c r="L2211" s="498"/>
      <x:c r="M2211" s="498"/>
    </x:row>
    <x:row r="2212" ht="18" customHeight="1">
      <x:c r="A2212" s="498"/>
      <x:c r="B2212" s="498"/>
      <x:c r="C2212" s="498"/>
      <x:c r="D2212" s="498"/>
      <x:c r="E2212" s="498"/>
      <x:c r="F2212" s="498"/>
      <x:c r="G2212" s="498"/>
      <x:c r="H2212" s="498"/>
      <x:c r="I2212" s="498"/>
      <x:c r="J2212" s="498"/>
      <x:c r="K2212" s="498"/>
      <x:c r="L2212" s="498"/>
      <x:c r="M2212" s="498"/>
    </x:row>
    <x:row r="2213" ht="18" customHeight="1">
      <x:c r="A2213" s="498"/>
      <x:c r="B2213" s="498"/>
      <x:c r="C2213" s="498"/>
      <x:c r="D2213" s="498"/>
      <x:c r="E2213" s="498"/>
      <x:c r="F2213" s="498"/>
      <x:c r="G2213" s="498"/>
      <x:c r="H2213" s="498"/>
      <x:c r="I2213" s="498"/>
      <x:c r="J2213" s="498"/>
      <x:c r="K2213" s="498"/>
      <x:c r="L2213" s="498"/>
      <x:c r="M2213" s="498"/>
    </x:row>
    <x:row r="2214" ht="18" customHeight="1">
      <x:c r="A2214" s="498"/>
      <x:c r="B2214" s="498"/>
      <x:c r="C2214" s="498"/>
      <x:c r="D2214" s="498"/>
      <x:c r="E2214" s="498"/>
      <x:c r="F2214" s="498"/>
      <x:c r="G2214" s="498"/>
      <x:c r="H2214" s="498"/>
      <x:c r="I2214" s="498"/>
      <x:c r="J2214" s="498"/>
      <x:c r="K2214" s="498"/>
      <x:c r="L2214" s="498"/>
      <x:c r="M2214" s="498"/>
    </x:row>
    <x:row r="2215" ht="18" customHeight="1">
      <x:c r="A2215" s="498"/>
      <x:c r="B2215" s="498"/>
      <x:c r="C2215" s="498"/>
      <x:c r="D2215" s="498"/>
      <x:c r="E2215" s="498"/>
      <x:c r="F2215" s="498"/>
      <x:c r="G2215" s="498"/>
      <x:c r="H2215" s="498"/>
      <x:c r="I2215" s="498"/>
      <x:c r="J2215" s="498"/>
      <x:c r="K2215" s="498"/>
      <x:c r="L2215" s="498"/>
      <x:c r="M2215" s="498"/>
    </x:row>
    <x:row r="2216" ht="18" customHeight="1">
      <x:c r="A2216" s="498"/>
      <x:c r="B2216" s="498"/>
      <x:c r="C2216" s="498"/>
      <x:c r="D2216" s="498"/>
      <x:c r="E2216" s="498"/>
      <x:c r="F2216" s="498"/>
      <x:c r="G2216" s="498"/>
      <x:c r="H2216" s="498"/>
      <x:c r="I2216" s="498"/>
      <x:c r="J2216" s="498"/>
      <x:c r="K2216" s="498"/>
      <x:c r="L2216" s="498"/>
      <x:c r="M2216" s="498"/>
    </x:row>
    <x:row r="2217" ht="18" customHeight="1">
      <x:c r="A2217" s="498"/>
      <x:c r="B2217" s="498"/>
      <x:c r="C2217" s="498"/>
      <x:c r="D2217" s="498"/>
      <x:c r="E2217" s="498"/>
      <x:c r="F2217" s="498"/>
      <x:c r="G2217" s="498"/>
      <x:c r="H2217" s="498"/>
      <x:c r="I2217" s="498"/>
      <x:c r="J2217" s="498"/>
      <x:c r="K2217" s="498"/>
      <x:c r="L2217" s="498"/>
      <x:c r="M2217" s="498"/>
    </x:row>
    <x:row r="2218" ht="18" customHeight="1">
      <x:c r="A2218" s="498"/>
      <x:c r="B2218" s="498"/>
      <x:c r="C2218" s="498"/>
      <x:c r="D2218" s="498"/>
      <x:c r="E2218" s="498"/>
      <x:c r="F2218" s="498"/>
      <x:c r="G2218" s="498"/>
      <x:c r="H2218" s="498"/>
      <x:c r="I2218" s="498"/>
      <x:c r="J2218" s="498"/>
      <x:c r="K2218" s="498"/>
      <x:c r="L2218" s="498"/>
      <x:c r="M2218" s="498"/>
    </x:row>
    <x:row r="2219" ht="18" customHeight="1">
      <x:c r="A2219" s="498"/>
      <x:c r="B2219" s="498"/>
      <x:c r="C2219" s="498"/>
      <x:c r="D2219" s="498"/>
      <x:c r="E2219" s="498"/>
      <x:c r="F2219" s="498"/>
      <x:c r="G2219" s="498"/>
      <x:c r="H2219" s="498"/>
      <x:c r="I2219" s="498"/>
      <x:c r="J2219" s="498"/>
      <x:c r="K2219" s="498"/>
      <x:c r="L2219" s="498"/>
      <x:c r="M2219" s="498"/>
    </x:row>
    <x:row r="2220" ht="18" customHeight="1">
      <x:c r="A2220" s="498"/>
      <x:c r="B2220" s="498"/>
      <x:c r="C2220" s="498"/>
      <x:c r="D2220" s="498"/>
      <x:c r="E2220" s="498"/>
      <x:c r="F2220" s="498"/>
      <x:c r="G2220" s="498"/>
      <x:c r="H2220" s="498"/>
      <x:c r="I2220" s="498"/>
      <x:c r="J2220" s="498"/>
      <x:c r="K2220" s="498"/>
      <x:c r="L2220" s="498"/>
      <x:c r="M2220" s="498"/>
    </x:row>
    <x:row r="2221" ht="18" customHeight="1">
      <x:c r="A2221" s="498"/>
      <x:c r="B2221" s="498"/>
      <x:c r="C2221" s="498"/>
      <x:c r="D2221" s="498"/>
      <x:c r="E2221" s="498"/>
      <x:c r="F2221" s="498"/>
      <x:c r="G2221" s="498"/>
      <x:c r="H2221" s="498"/>
      <x:c r="I2221" s="498"/>
      <x:c r="J2221" s="498"/>
      <x:c r="K2221" s="498"/>
      <x:c r="L2221" s="498"/>
      <x:c r="M2221" s="498"/>
    </x:row>
    <x:row r="2222" ht="18" customHeight="1">
      <x:c r="A2222" s="498"/>
      <x:c r="B2222" s="498"/>
      <x:c r="C2222" s="498"/>
      <x:c r="D2222" s="498"/>
      <x:c r="E2222" s="498"/>
      <x:c r="F2222" s="498"/>
      <x:c r="G2222" s="498"/>
      <x:c r="H2222" s="498"/>
      <x:c r="I2222" s="498"/>
      <x:c r="J2222" s="498"/>
      <x:c r="K2222" s="498"/>
      <x:c r="L2222" s="498"/>
      <x:c r="M2222" s="498"/>
    </x:row>
    <x:row r="2223" ht="18" customHeight="1">
      <x:c r="A2223" s="498"/>
      <x:c r="B2223" s="498"/>
      <x:c r="C2223" s="498"/>
      <x:c r="D2223" s="498"/>
      <x:c r="E2223" s="498"/>
      <x:c r="F2223" s="498"/>
      <x:c r="G2223" s="498"/>
      <x:c r="H2223" s="498"/>
      <x:c r="I2223" s="498"/>
      <x:c r="J2223" s="498"/>
      <x:c r="K2223" s="498"/>
      <x:c r="L2223" s="498"/>
      <x:c r="M2223" s="498"/>
    </x:row>
    <x:row r="2224" ht="18" customHeight="1">
      <x:c r="A2224" s="498"/>
      <x:c r="B2224" s="498"/>
      <x:c r="C2224" s="498"/>
      <x:c r="D2224" s="498"/>
      <x:c r="E2224" s="498"/>
      <x:c r="F2224" s="498"/>
      <x:c r="G2224" s="498"/>
      <x:c r="H2224" s="498"/>
      <x:c r="I2224" s="498"/>
      <x:c r="J2224" s="498"/>
      <x:c r="K2224" s="498"/>
      <x:c r="L2224" s="498"/>
      <x:c r="M2224" s="498"/>
    </x:row>
    <x:row r="2225" ht="18" customHeight="1">
      <x:c r="A2225" s="498"/>
      <x:c r="B2225" s="498"/>
      <x:c r="C2225" s="498"/>
      <x:c r="D2225" s="498"/>
      <x:c r="E2225" s="498"/>
      <x:c r="F2225" s="498"/>
      <x:c r="G2225" s="498"/>
      <x:c r="H2225" s="498"/>
      <x:c r="I2225" s="498"/>
      <x:c r="J2225" s="498"/>
      <x:c r="K2225" s="498"/>
      <x:c r="L2225" s="498"/>
      <x:c r="M2225" s="498"/>
    </x:row>
    <x:row r="2226" ht="18" customHeight="1">
      <x:c r="A2226" s="498"/>
      <x:c r="B2226" s="498"/>
      <x:c r="C2226" s="498"/>
      <x:c r="D2226" s="498"/>
      <x:c r="E2226" s="498"/>
      <x:c r="F2226" s="498"/>
      <x:c r="G2226" s="498"/>
      <x:c r="H2226" s="498"/>
      <x:c r="I2226" s="498"/>
      <x:c r="J2226" s="498"/>
      <x:c r="K2226" s="498"/>
      <x:c r="L2226" s="498"/>
      <x:c r="M2226" s="498"/>
    </x:row>
    <x:row r="2227" ht="18" customHeight="1">
      <x:c r="A2227" s="498"/>
      <x:c r="B2227" s="498"/>
      <x:c r="C2227" s="498"/>
      <x:c r="D2227" s="498"/>
      <x:c r="E2227" s="498"/>
      <x:c r="F2227" s="498"/>
      <x:c r="G2227" s="498"/>
      <x:c r="H2227" s="498"/>
      <x:c r="I2227" s="498"/>
      <x:c r="J2227" s="498"/>
      <x:c r="K2227" s="498"/>
      <x:c r="L2227" s="498"/>
      <x:c r="M2227" s="498"/>
    </x:row>
    <x:row r="2228" ht="18" customHeight="1">
      <x:c r="A2228" s="498"/>
      <x:c r="B2228" s="498"/>
      <x:c r="C2228" s="498"/>
      <x:c r="D2228" s="498"/>
      <x:c r="E2228" s="498"/>
      <x:c r="F2228" s="498"/>
      <x:c r="G2228" s="498"/>
      <x:c r="H2228" s="498"/>
      <x:c r="I2228" s="498"/>
      <x:c r="J2228" s="498"/>
      <x:c r="K2228" s="498"/>
      <x:c r="L2228" s="498"/>
      <x:c r="M2228" s="498"/>
    </x:row>
    <x:row r="2229" ht="18" customHeight="1">
      <x:c r="A2229" s="498"/>
      <x:c r="B2229" s="498"/>
      <x:c r="C2229" s="498"/>
      <x:c r="D2229" s="498"/>
      <x:c r="E2229" s="498"/>
      <x:c r="F2229" s="498"/>
      <x:c r="G2229" s="498"/>
      <x:c r="H2229" s="498"/>
      <x:c r="I2229" s="498"/>
      <x:c r="J2229" s="498"/>
      <x:c r="K2229" s="498"/>
      <x:c r="L2229" s="498"/>
      <x:c r="M2229" s="498"/>
    </x:row>
    <x:row r="2230" ht="18" customHeight="1">
      <x:c r="A2230" s="498"/>
      <x:c r="B2230" s="498"/>
      <x:c r="C2230" s="498"/>
      <x:c r="D2230" s="498"/>
      <x:c r="E2230" s="498"/>
      <x:c r="F2230" s="498"/>
      <x:c r="G2230" s="498"/>
      <x:c r="H2230" s="498"/>
      <x:c r="I2230" s="498"/>
      <x:c r="J2230" s="498"/>
      <x:c r="K2230" s="498"/>
      <x:c r="L2230" s="498"/>
      <x:c r="M2230" s="498"/>
    </x:row>
    <x:row r="2231" ht="18" customHeight="1">
      <x:c r="A2231" s="498"/>
      <x:c r="B2231" s="498"/>
      <x:c r="C2231" s="498"/>
      <x:c r="D2231" s="498"/>
      <x:c r="E2231" s="498"/>
      <x:c r="F2231" s="498"/>
      <x:c r="G2231" s="498"/>
      <x:c r="H2231" s="498"/>
      <x:c r="I2231" s="498"/>
      <x:c r="J2231" s="498"/>
      <x:c r="K2231" s="498"/>
      <x:c r="L2231" s="498"/>
      <x:c r="M2231" s="498"/>
    </x:row>
    <x:row r="2232" ht="18" customHeight="1">
      <x:c r="A2232" s="498"/>
      <x:c r="B2232" s="498"/>
      <x:c r="C2232" s="498"/>
      <x:c r="D2232" s="498"/>
      <x:c r="E2232" s="498"/>
      <x:c r="F2232" s="498"/>
      <x:c r="G2232" s="498"/>
      <x:c r="H2232" s="498"/>
      <x:c r="I2232" s="498"/>
      <x:c r="J2232" s="498"/>
      <x:c r="K2232" s="498"/>
      <x:c r="L2232" s="498"/>
      <x:c r="M2232" s="498"/>
    </x:row>
    <x:row r="2233" ht="18" customHeight="1">
      <x:c r="A2233" s="498"/>
      <x:c r="B2233" s="498"/>
      <x:c r="C2233" s="498"/>
      <x:c r="D2233" s="498"/>
      <x:c r="E2233" s="498"/>
      <x:c r="F2233" s="498"/>
      <x:c r="G2233" s="498"/>
      <x:c r="H2233" s="498"/>
      <x:c r="I2233" s="498"/>
      <x:c r="J2233" s="498"/>
      <x:c r="K2233" s="498"/>
      <x:c r="L2233" s="498"/>
      <x:c r="M2233" s="498"/>
    </x:row>
    <x:row r="2234" ht="18" customHeight="1">
      <x:c r="A2234" s="498"/>
      <x:c r="B2234" s="498"/>
      <x:c r="C2234" s="498"/>
      <x:c r="D2234" s="498"/>
      <x:c r="E2234" s="498"/>
      <x:c r="F2234" s="498"/>
      <x:c r="G2234" s="498"/>
      <x:c r="H2234" s="498"/>
      <x:c r="I2234" s="498"/>
      <x:c r="J2234" s="498"/>
      <x:c r="K2234" s="498"/>
      <x:c r="L2234" s="498"/>
      <x:c r="M2234" s="498"/>
    </x:row>
    <x:row r="2235" ht="18" customHeight="1">
      <x:c r="A2235" s="498"/>
      <x:c r="B2235" s="498"/>
      <x:c r="C2235" s="498"/>
      <x:c r="D2235" s="498"/>
      <x:c r="E2235" s="498"/>
      <x:c r="F2235" s="498"/>
      <x:c r="G2235" s="498"/>
      <x:c r="H2235" s="498"/>
      <x:c r="I2235" s="498"/>
      <x:c r="J2235" s="498"/>
      <x:c r="K2235" s="498"/>
      <x:c r="L2235" s="498"/>
      <x:c r="M2235" s="498"/>
    </x:row>
    <x:row r="2236" ht="18" customHeight="1">
      <x:c r="A2236" s="498"/>
      <x:c r="B2236" s="498"/>
      <x:c r="C2236" s="498"/>
      <x:c r="D2236" s="498"/>
      <x:c r="E2236" s="498"/>
      <x:c r="F2236" s="498"/>
      <x:c r="G2236" s="498"/>
      <x:c r="H2236" s="498"/>
      <x:c r="I2236" s="498"/>
      <x:c r="J2236" s="498"/>
      <x:c r="K2236" s="498"/>
      <x:c r="L2236" s="498"/>
      <x:c r="M2236" s="498"/>
    </x:row>
    <x:row r="2237" ht="18" customHeight="1">
      <x:c r="A2237" s="498"/>
      <x:c r="B2237" s="498"/>
      <x:c r="C2237" s="498"/>
      <x:c r="D2237" s="498"/>
      <x:c r="E2237" s="498"/>
      <x:c r="F2237" s="498"/>
      <x:c r="G2237" s="498"/>
      <x:c r="H2237" s="498"/>
      <x:c r="I2237" s="498"/>
      <x:c r="J2237" s="498"/>
      <x:c r="K2237" s="498"/>
      <x:c r="L2237" s="498"/>
      <x:c r="M2237" s="498"/>
    </x:row>
    <x:row r="2238" ht="18" customHeight="1">
      <x:c r="A2238" s="498"/>
      <x:c r="B2238" s="498"/>
      <x:c r="C2238" s="498"/>
      <x:c r="D2238" s="498"/>
      <x:c r="E2238" s="498"/>
      <x:c r="F2238" s="498"/>
      <x:c r="G2238" s="498"/>
      <x:c r="H2238" s="498"/>
      <x:c r="I2238" s="498"/>
      <x:c r="J2238" s="498"/>
      <x:c r="K2238" s="498"/>
      <x:c r="L2238" s="498"/>
      <x:c r="M2238" s="498"/>
    </x:row>
    <x:row r="2239" ht="18" customHeight="1">
      <x:c r="A2239" s="498"/>
      <x:c r="B2239" s="498"/>
      <x:c r="C2239" s="498"/>
      <x:c r="D2239" s="498"/>
      <x:c r="E2239" s="498"/>
      <x:c r="F2239" s="498"/>
      <x:c r="G2239" s="498"/>
      <x:c r="H2239" s="498"/>
      <x:c r="I2239" s="498"/>
      <x:c r="J2239" s="498"/>
      <x:c r="K2239" s="498"/>
      <x:c r="L2239" s="498"/>
      <x:c r="M2239" s="498"/>
    </x:row>
    <x:row r="2240" ht="18" customHeight="1">
      <x:c r="A2240" s="498"/>
      <x:c r="B2240" s="498"/>
      <x:c r="C2240" s="498"/>
      <x:c r="D2240" s="498"/>
      <x:c r="E2240" s="498"/>
      <x:c r="F2240" s="498"/>
      <x:c r="G2240" s="498"/>
      <x:c r="H2240" s="498"/>
      <x:c r="I2240" s="498"/>
      <x:c r="J2240" s="498"/>
      <x:c r="K2240" s="498"/>
      <x:c r="L2240" s="498"/>
      <x:c r="M2240" s="498"/>
    </x:row>
    <x:row r="2241" ht="18" customHeight="1">
      <x:c r="A2241" s="498"/>
      <x:c r="B2241" s="498"/>
      <x:c r="C2241" s="498"/>
      <x:c r="D2241" s="498"/>
      <x:c r="E2241" s="498"/>
      <x:c r="F2241" s="498"/>
      <x:c r="G2241" s="498"/>
      <x:c r="H2241" s="498"/>
      <x:c r="I2241" s="498"/>
      <x:c r="J2241" s="498"/>
      <x:c r="K2241" s="498"/>
      <x:c r="L2241" s="498"/>
      <x:c r="M2241" s="498"/>
    </x:row>
    <x:row r="2242" ht="18" customHeight="1">
      <x:c r="A2242" s="498"/>
      <x:c r="B2242" s="498"/>
      <x:c r="C2242" s="498"/>
      <x:c r="D2242" s="498"/>
      <x:c r="E2242" s="498"/>
      <x:c r="F2242" s="498"/>
      <x:c r="G2242" s="498"/>
      <x:c r="H2242" s="498"/>
      <x:c r="I2242" s="498"/>
      <x:c r="J2242" s="498"/>
      <x:c r="K2242" s="498"/>
      <x:c r="L2242" s="498"/>
      <x:c r="M2242" s="498"/>
    </x:row>
    <x:row r="2243" ht="18" customHeight="1">
      <x:c r="A2243" s="498"/>
      <x:c r="B2243" s="498"/>
      <x:c r="C2243" s="498"/>
      <x:c r="D2243" s="498"/>
      <x:c r="E2243" s="498"/>
      <x:c r="F2243" s="498"/>
      <x:c r="G2243" s="498"/>
      <x:c r="H2243" s="498"/>
      <x:c r="I2243" s="498"/>
      <x:c r="J2243" s="498"/>
      <x:c r="K2243" s="498"/>
      <x:c r="L2243" s="498"/>
      <x:c r="M2243" s="498"/>
    </x:row>
    <x:row r="2244" ht="18" customHeight="1">
      <x:c r="A2244" s="498"/>
      <x:c r="B2244" s="498"/>
      <x:c r="C2244" s="498"/>
      <x:c r="D2244" s="498"/>
      <x:c r="E2244" s="498"/>
      <x:c r="F2244" s="498"/>
      <x:c r="G2244" s="498"/>
      <x:c r="H2244" s="498"/>
      <x:c r="I2244" s="498"/>
      <x:c r="J2244" s="498"/>
      <x:c r="K2244" s="498"/>
      <x:c r="L2244" s="498"/>
      <x:c r="M2244" s="498"/>
    </x:row>
    <x:row r="2245" ht="18" customHeight="1">
      <x:c r="A2245" s="498"/>
      <x:c r="B2245" s="498"/>
      <x:c r="C2245" s="498"/>
      <x:c r="D2245" s="498"/>
      <x:c r="E2245" s="498"/>
      <x:c r="F2245" s="498"/>
      <x:c r="G2245" s="498"/>
      <x:c r="H2245" s="498"/>
      <x:c r="I2245" s="498"/>
      <x:c r="J2245" s="498"/>
      <x:c r="K2245" s="498"/>
      <x:c r="L2245" s="498"/>
      <x:c r="M2245" s="498"/>
    </x:row>
    <x:row r="2246" ht="18" customHeight="1">
      <x:c r="A2246" s="498"/>
      <x:c r="B2246" s="498"/>
      <x:c r="C2246" s="498"/>
      <x:c r="D2246" s="498"/>
      <x:c r="E2246" s="498"/>
      <x:c r="F2246" s="498"/>
      <x:c r="G2246" s="498"/>
      <x:c r="H2246" s="498"/>
      <x:c r="I2246" s="498"/>
      <x:c r="J2246" s="498"/>
      <x:c r="K2246" s="498"/>
      <x:c r="L2246" s="498"/>
      <x:c r="M2246" s="498"/>
    </x:row>
    <x:row r="2247" ht="18" customHeight="1">
      <x:c r="A2247" s="498"/>
      <x:c r="B2247" s="498"/>
      <x:c r="C2247" s="498"/>
      <x:c r="D2247" s="498"/>
      <x:c r="E2247" s="498"/>
      <x:c r="F2247" s="498"/>
      <x:c r="G2247" s="498"/>
      <x:c r="H2247" s="498"/>
      <x:c r="I2247" s="498"/>
      <x:c r="J2247" s="498"/>
      <x:c r="K2247" s="498"/>
      <x:c r="L2247" s="498"/>
      <x:c r="M2247" s="498"/>
    </x:row>
    <x:row r="2248" ht="18" customHeight="1">
      <x:c r="A2248" s="498"/>
      <x:c r="B2248" s="498"/>
      <x:c r="C2248" s="498"/>
      <x:c r="D2248" s="498"/>
      <x:c r="E2248" s="498"/>
      <x:c r="F2248" s="498"/>
      <x:c r="G2248" s="498"/>
      <x:c r="H2248" s="498"/>
      <x:c r="I2248" s="498"/>
      <x:c r="J2248" s="498"/>
      <x:c r="K2248" s="498"/>
      <x:c r="L2248" s="498"/>
      <x:c r="M2248" s="498"/>
    </x:row>
    <x:row r="2249" ht="18" customHeight="1">
      <x:c r="A2249" s="498"/>
      <x:c r="B2249" s="498"/>
      <x:c r="C2249" s="498"/>
      <x:c r="D2249" s="498"/>
      <x:c r="E2249" s="498"/>
      <x:c r="F2249" s="498"/>
      <x:c r="G2249" s="498"/>
      <x:c r="H2249" s="498"/>
      <x:c r="I2249" s="498"/>
      <x:c r="J2249" s="498"/>
      <x:c r="K2249" s="498"/>
      <x:c r="L2249" s="498"/>
      <x:c r="M2249" s="498"/>
    </x:row>
    <x:row r="2250" ht="18" customHeight="1">
      <x:c r="A2250" s="498"/>
      <x:c r="B2250" s="498"/>
      <x:c r="C2250" s="498"/>
      <x:c r="D2250" s="498"/>
      <x:c r="E2250" s="498"/>
      <x:c r="F2250" s="498"/>
      <x:c r="G2250" s="498"/>
      <x:c r="H2250" s="498"/>
      <x:c r="I2250" s="498"/>
      <x:c r="J2250" s="498"/>
      <x:c r="K2250" s="498"/>
      <x:c r="L2250" s="498"/>
      <x:c r="M2250" s="498"/>
    </x:row>
    <x:row r="2251" ht="18" customHeight="1">
      <x:c r="A2251" s="498"/>
      <x:c r="B2251" s="498"/>
      <x:c r="C2251" s="498"/>
      <x:c r="D2251" s="498"/>
      <x:c r="E2251" s="498"/>
      <x:c r="F2251" s="498"/>
      <x:c r="G2251" s="498"/>
      <x:c r="H2251" s="498"/>
      <x:c r="I2251" s="498"/>
      <x:c r="J2251" s="498"/>
      <x:c r="K2251" s="498"/>
      <x:c r="L2251" s="498"/>
      <x:c r="M2251" s="498"/>
    </x:row>
    <x:row r="2252" ht="18" customHeight="1">
      <x:c r="A2252" s="498"/>
      <x:c r="B2252" s="498"/>
      <x:c r="C2252" s="498"/>
      <x:c r="D2252" s="498"/>
      <x:c r="E2252" s="498"/>
      <x:c r="F2252" s="498"/>
      <x:c r="G2252" s="498"/>
      <x:c r="H2252" s="498"/>
      <x:c r="I2252" s="498"/>
      <x:c r="J2252" s="498"/>
      <x:c r="K2252" s="498"/>
      <x:c r="L2252" s="498"/>
      <x:c r="M2252" s="498"/>
    </x:row>
    <x:row r="2253" ht="18" customHeight="1">
      <x:c r="A2253" s="498"/>
      <x:c r="B2253" s="498"/>
      <x:c r="C2253" s="498"/>
      <x:c r="D2253" s="498"/>
      <x:c r="E2253" s="498"/>
      <x:c r="F2253" s="498"/>
      <x:c r="G2253" s="498"/>
      <x:c r="H2253" s="498"/>
      <x:c r="I2253" s="498"/>
      <x:c r="J2253" s="498"/>
      <x:c r="K2253" s="498"/>
      <x:c r="L2253" s="498"/>
      <x:c r="M2253" s="498"/>
    </x:row>
    <x:row r="2254" ht="18" customHeight="1">
      <x:c r="A2254" s="498"/>
      <x:c r="B2254" s="498"/>
      <x:c r="C2254" s="498"/>
      <x:c r="D2254" s="498"/>
      <x:c r="E2254" s="498"/>
      <x:c r="F2254" s="498"/>
      <x:c r="G2254" s="498"/>
      <x:c r="H2254" s="498"/>
      <x:c r="I2254" s="498"/>
      <x:c r="J2254" s="498"/>
      <x:c r="K2254" s="498"/>
      <x:c r="L2254" s="498"/>
      <x:c r="M2254" s="498"/>
    </x:row>
    <x:row r="2255" ht="18" customHeight="1">
      <x:c r="A2255" s="498"/>
      <x:c r="B2255" s="498"/>
      <x:c r="C2255" s="498"/>
      <x:c r="D2255" s="498"/>
      <x:c r="E2255" s="498"/>
      <x:c r="F2255" s="498"/>
      <x:c r="G2255" s="498"/>
      <x:c r="H2255" s="498"/>
      <x:c r="I2255" s="498"/>
      <x:c r="J2255" s="498"/>
      <x:c r="K2255" s="498"/>
      <x:c r="L2255" s="498"/>
      <x:c r="M2255" s="498"/>
    </x:row>
    <x:row r="2256" ht="18" customHeight="1">
      <x:c r="A2256" s="498"/>
      <x:c r="B2256" s="498"/>
      <x:c r="C2256" s="498"/>
      <x:c r="D2256" s="498"/>
      <x:c r="E2256" s="498"/>
      <x:c r="F2256" s="498"/>
      <x:c r="G2256" s="498"/>
      <x:c r="H2256" s="498"/>
      <x:c r="I2256" s="498"/>
      <x:c r="J2256" s="498"/>
      <x:c r="K2256" s="498"/>
      <x:c r="L2256" s="498"/>
      <x:c r="M2256" s="498"/>
    </x:row>
    <x:row r="2257" ht="18" customHeight="1">
      <x:c r="A2257" s="498"/>
      <x:c r="B2257" s="498"/>
      <x:c r="C2257" s="498"/>
      <x:c r="D2257" s="498"/>
      <x:c r="E2257" s="498"/>
      <x:c r="F2257" s="498"/>
      <x:c r="G2257" s="498"/>
      <x:c r="H2257" s="498"/>
      <x:c r="I2257" s="498"/>
      <x:c r="J2257" s="498"/>
      <x:c r="K2257" s="498"/>
      <x:c r="L2257" s="498"/>
      <x:c r="M2257" s="498"/>
    </x:row>
    <x:row r="2258" ht="18" customHeight="1">
      <x:c r="A2258" s="498"/>
      <x:c r="B2258" s="498"/>
      <x:c r="C2258" s="498"/>
      <x:c r="D2258" s="498"/>
      <x:c r="E2258" s="498"/>
      <x:c r="F2258" s="498"/>
      <x:c r="G2258" s="498"/>
      <x:c r="H2258" s="498"/>
      <x:c r="I2258" s="498"/>
      <x:c r="J2258" s="498"/>
      <x:c r="K2258" s="498"/>
      <x:c r="L2258" s="498"/>
      <x:c r="M2258" s="498"/>
    </x:row>
    <x:row r="2259" ht="18" customHeight="1">
      <x:c r="A2259" s="498"/>
      <x:c r="B2259" s="498"/>
      <x:c r="C2259" s="498"/>
      <x:c r="D2259" s="498"/>
      <x:c r="E2259" s="498"/>
      <x:c r="F2259" s="498"/>
      <x:c r="G2259" s="498"/>
      <x:c r="H2259" s="498"/>
      <x:c r="I2259" s="498"/>
      <x:c r="J2259" s="498"/>
      <x:c r="K2259" s="498"/>
      <x:c r="L2259" s="498"/>
      <x:c r="M2259" s="498"/>
    </x:row>
    <x:row r="2260" ht="18" customHeight="1">
      <x:c r="A2260" s="498"/>
      <x:c r="B2260" s="498"/>
      <x:c r="C2260" s="498"/>
      <x:c r="D2260" s="498"/>
      <x:c r="E2260" s="498"/>
      <x:c r="F2260" s="498"/>
      <x:c r="G2260" s="498"/>
      <x:c r="H2260" s="498"/>
      <x:c r="I2260" s="498"/>
      <x:c r="J2260" s="498"/>
      <x:c r="K2260" s="498"/>
      <x:c r="L2260" s="498"/>
      <x:c r="M2260" s="498"/>
    </x:row>
    <x:row r="2261" ht="18" customHeight="1">
      <x:c r="A2261" s="498"/>
      <x:c r="B2261" s="498"/>
      <x:c r="C2261" s="498"/>
      <x:c r="D2261" s="498"/>
      <x:c r="E2261" s="498"/>
      <x:c r="F2261" s="498"/>
      <x:c r="G2261" s="498"/>
      <x:c r="H2261" s="498"/>
      <x:c r="I2261" s="498"/>
      <x:c r="J2261" s="498"/>
      <x:c r="K2261" s="498"/>
      <x:c r="L2261" s="498"/>
      <x:c r="M2261" s="498"/>
    </x:row>
    <x:row r="2262" ht="18" customHeight="1">
      <x:c r="A2262" s="498"/>
      <x:c r="B2262" s="498"/>
      <x:c r="C2262" s="498"/>
      <x:c r="D2262" s="498"/>
      <x:c r="E2262" s="498"/>
      <x:c r="F2262" s="498"/>
      <x:c r="G2262" s="498"/>
      <x:c r="H2262" s="498"/>
      <x:c r="I2262" s="498"/>
      <x:c r="J2262" s="498"/>
      <x:c r="K2262" s="498"/>
      <x:c r="L2262" s="498"/>
      <x:c r="M2262" s="498"/>
    </x:row>
    <x:row r="2263" ht="18" customHeight="1">
      <x:c r="A2263" s="498"/>
      <x:c r="B2263" s="498"/>
      <x:c r="C2263" s="498"/>
      <x:c r="D2263" s="498"/>
      <x:c r="E2263" s="498"/>
      <x:c r="F2263" s="498"/>
      <x:c r="G2263" s="498"/>
      <x:c r="H2263" s="498"/>
      <x:c r="I2263" s="498"/>
      <x:c r="J2263" s="498"/>
      <x:c r="K2263" s="498"/>
      <x:c r="L2263" s="498"/>
      <x:c r="M2263" s="498"/>
    </x:row>
    <x:row r="2264" ht="18" customHeight="1">
      <x:c r="A2264" s="498"/>
      <x:c r="B2264" s="498"/>
      <x:c r="C2264" s="498"/>
      <x:c r="D2264" s="498"/>
      <x:c r="E2264" s="498"/>
      <x:c r="F2264" s="498"/>
      <x:c r="G2264" s="498"/>
      <x:c r="H2264" s="498"/>
      <x:c r="I2264" s="498"/>
      <x:c r="J2264" s="498"/>
      <x:c r="K2264" s="498"/>
      <x:c r="L2264" s="498"/>
      <x:c r="M2264" s="498"/>
    </x:row>
    <x:row r="2265" ht="18" customHeight="1">
      <x:c r="A2265" s="498"/>
      <x:c r="B2265" s="498"/>
      <x:c r="C2265" s="498"/>
      <x:c r="D2265" s="498"/>
      <x:c r="E2265" s="498"/>
      <x:c r="F2265" s="498"/>
      <x:c r="G2265" s="498"/>
      <x:c r="H2265" s="498"/>
      <x:c r="I2265" s="498"/>
      <x:c r="J2265" s="498"/>
      <x:c r="K2265" s="498"/>
      <x:c r="L2265" s="498"/>
      <x:c r="M2265" s="498"/>
    </x:row>
    <x:row r="2266" ht="18" customHeight="1">
      <x:c r="A2266" s="498"/>
      <x:c r="B2266" s="498"/>
      <x:c r="C2266" s="498"/>
      <x:c r="D2266" s="498"/>
      <x:c r="E2266" s="498"/>
      <x:c r="F2266" s="498"/>
      <x:c r="G2266" s="498"/>
      <x:c r="H2266" s="498"/>
      <x:c r="I2266" s="498"/>
      <x:c r="J2266" s="498"/>
      <x:c r="K2266" s="498"/>
      <x:c r="L2266" s="498"/>
      <x:c r="M2266" s="498"/>
    </x:row>
    <x:row r="2267" ht="18" customHeight="1">
      <x:c r="A2267" s="498"/>
      <x:c r="B2267" s="498"/>
      <x:c r="C2267" s="498"/>
      <x:c r="D2267" s="498"/>
      <x:c r="E2267" s="498"/>
      <x:c r="F2267" s="498"/>
      <x:c r="G2267" s="498"/>
      <x:c r="H2267" s="498"/>
      <x:c r="I2267" s="498"/>
      <x:c r="J2267" s="498"/>
      <x:c r="K2267" s="498"/>
      <x:c r="L2267" s="498"/>
      <x:c r="M2267" s="498"/>
    </x:row>
    <x:row r="2268" ht="18" customHeight="1">
      <x:c r="A2268" s="498"/>
      <x:c r="B2268" s="498"/>
      <x:c r="C2268" s="498"/>
      <x:c r="D2268" s="498"/>
      <x:c r="E2268" s="498"/>
      <x:c r="F2268" s="498"/>
      <x:c r="G2268" s="498"/>
      <x:c r="H2268" s="498"/>
      <x:c r="I2268" s="498"/>
      <x:c r="J2268" s="498"/>
      <x:c r="K2268" s="498"/>
      <x:c r="L2268" s="498"/>
      <x:c r="M2268" s="498"/>
    </x:row>
    <x:row r="2269" ht="18" customHeight="1">
      <x:c r="A2269" s="498"/>
      <x:c r="B2269" s="498"/>
      <x:c r="C2269" s="498"/>
      <x:c r="D2269" s="498"/>
      <x:c r="E2269" s="498"/>
      <x:c r="F2269" s="498"/>
      <x:c r="G2269" s="498"/>
      <x:c r="H2269" s="498"/>
      <x:c r="I2269" s="498"/>
      <x:c r="J2269" s="498"/>
      <x:c r="K2269" s="498"/>
      <x:c r="L2269" s="498"/>
      <x:c r="M2269" s="498"/>
    </x:row>
    <x:row r="2270" ht="18" customHeight="1">
      <x:c r="A2270" s="498"/>
      <x:c r="B2270" s="498"/>
      <x:c r="C2270" s="498"/>
      <x:c r="D2270" s="498"/>
      <x:c r="E2270" s="498"/>
      <x:c r="F2270" s="498"/>
      <x:c r="G2270" s="498"/>
      <x:c r="H2270" s="498"/>
      <x:c r="I2270" s="498"/>
      <x:c r="J2270" s="498"/>
      <x:c r="K2270" s="498"/>
      <x:c r="L2270" s="498"/>
      <x:c r="M2270" s="498"/>
    </x:row>
    <x:row r="2271" ht="18" customHeight="1">
      <x:c r="A2271" s="498"/>
      <x:c r="B2271" s="498"/>
      <x:c r="C2271" s="498"/>
      <x:c r="D2271" s="498"/>
      <x:c r="E2271" s="498"/>
      <x:c r="F2271" s="498"/>
      <x:c r="G2271" s="498"/>
      <x:c r="H2271" s="498"/>
      <x:c r="I2271" s="498"/>
      <x:c r="J2271" s="498"/>
      <x:c r="K2271" s="498"/>
      <x:c r="L2271" s="498"/>
      <x:c r="M2271" s="498"/>
    </x:row>
    <x:row r="2272" ht="18" customHeight="1">
      <x:c r="A2272" s="498"/>
      <x:c r="B2272" s="498"/>
      <x:c r="C2272" s="498"/>
      <x:c r="D2272" s="498"/>
      <x:c r="E2272" s="498"/>
      <x:c r="F2272" s="498"/>
      <x:c r="G2272" s="498"/>
      <x:c r="H2272" s="498"/>
      <x:c r="I2272" s="498"/>
      <x:c r="J2272" s="498"/>
      <x:c r="K2272" s="498"/>
      <x:c r="L2272" s="498"/>
      <x:c r="M2272" s="498"/>
    </x:row>
    <x:row r="2273" ht="18" customHeight="1">
      <x:c r="A2273" s="498"/>
      <x:c r="B2273" s="498"/>
      <x:c r="C2273" s="498"/>
      <x:c r="D2273" s="498"/>
      <x:c r="E2273" s="498"/>
      <x:c r="F2273" s="498"/>
      <x:c r="G2273" s="498"/>
      <x:c r="H2273" s="498"/>
      <x:c r="I2273" s="498"/>
      <x:c r="J2273" s="498"/>
      <x:c r="K2273" s="498"/>
      <x:c r="L2273" s="498"/>
      <x:c r="M2273" s="498"/>
    </x:row>
    <x:row r="2274" ht="18" customHeight="1">
      <x:c r="A2274" s="498"/>
      <x:c r="B2274" s="498"/>
      <x:c r="C2274" s="498"/>
      <x:c r="D2274" s="498"/>
      <x:c r="E2274" s="498"/>
      <x:c r="F2274" s="498"/>
      <x:c r="G2274" s="498"/>
      <x:c r="H2274" s="498"/>
      <x:c r="I2274" s="498"/>
      <x:c r="J2274" s="498"/>
      <x:c r="K2274" s="498"/>
      <x:c r="L2274" s="498"/>
      <x:c r="M2274" s="498"/>
    </x:row>
    <x:row r="2275" ht="18" customHeight="1">
      <x:c r="A2275" s="498"/>
      <x:c r="B2275" s="498"/>
      <x:c r="C2275" s="498"/>
      <x:c r="D2275" s="498"/>
      <x:c r="E2275" s="498"/>
      <x:c r="F2275" s="498"/>
      <x:c r="G2275" s="498"/>
      <x:c r="H2275" s="498"/>
      <x:c r="I2275" s="498"/>
      <x:c r="J2275" s="498"/>
      <x:c r="K2275" s="498"/>
      <x:c r="L2275" s="498"/>
      <x:c r="M2275" s="498"/>
    </x:row>
    <x:row r="2276" ht="18" customHeight="1">
      <x:c r="A2276" s="498"/>
      <x:c r="B2276" s="498"/>
      <x:c r="C2276" s="498"/>
      <x:c r="D2276" s="498"/>
      <x:c r="E2276" s="498"/>
      <x:c r="F2276" s="498"/>
      <x:c r="G2276" s="498"/>
      <x:c r="H2276" s="498"/>
      <x:c r="I2276" s="498"/>
      <x:c r="J2276" s="498"/>
      <x:c r="K2276" s="498"/>
      <x:c r="L2276" s="498"/>
      <x:c r="M2276" s="498"/>
    </x:row>
    <x:row r="2277" ht="18" customHeight="1">
      <x:c r="A2277" s="498"/>
      <x:c r="B2277" s="498"/>
      <x:c r="C2277" s="498"/>
      <x:c r="D2277" s="498"/>
      <x:c r="E2277" s="498"/>
      <x:c r="F2277" s="498"/>
      <x:c r="G2277" s="498"/>
      <x:c r="H2277" s="498"/>
      <x:c r="I2277" s="498"/>
      <x:c r="J2277" s="498"/>
      <x:c r="K2277" s="498"/>
      <x:c r="L2277" s="498"/>
      <x:c r="M2277" s="498"/>
    </x:row>
    <x:row r="2278" ht="18" customHeight="1">
      <x:c r="A2278" s="498"/>
      <x:c r="B2278" s="498"/>
      <x:c r="C2278" s="498"/>
      <x:c r="D2278" s="498"/>
      <x:c r="E2278" s="498"/>
      <x:c r="F2278" s="498"/>
      <x:c r="G2278" s="498"/>
      <x:c r="H2278" s="498"/>
      <x:c r="I2278" s="498"/>
      <x:c r="J2278" s="498"/>
      <x:c r="K2278" s="498"/>
      <x:c r="L2278" s="498"/>
      <x:c r="M2278" s="498"/>
    </x:row>
    <x:row r="2279" ht="18" customHeight="1">
      <x:c r="A2279" s="498"/>
      <x:c r="B2279" s="498"/>
      <x:c r="C2279" s="498"/>
      <x:c r="D2279" s="498"/>
      <x:c r="E2279" s="498"/>
      <x:c r="F2279" s="498"/>
      <x:c r="G2279" s="498"/>
      <x:c r="H2279" s="498"/>
      <x:c r="I2279" s="498"/>
      <x:c r="J2279" s="498"/>
      <x:c r="K2279" s="498"/>
      <x:c r="L2279" s="498"/>
      <x:c r="M2279" s="498"/>
    </x:row>
    <x:row r="2280" ht="18" customHeight="1">
      <x:c r="A2280" s="498"/>
      <x:c r="B2280" s="498"/>
      <x:c r="C2280" s="498"/>
      <x:c r="D2280" s="498"/>
      <x:c r="E2280" s="498"/>
      <x:c r="F2280" s="498"/>
      <x:c r="G2280" s="498"/>
      <x:c r="H2280" s="498"/>
      <x:c r="I2280" s="498"/>
      <x:c r="J2280" s="498"/>
      <x:c r="K2280" s="498"/>
      <x:c r="L2280" s="498"/>
      <x:c r="M2280" s="498"/>
    </x:row>
    <x:row r="2281" ht="18" customHeight="1">
      <x:c r="A2281" s="498"/>
      <x:c r="B2281" s="498"/>
      <x:c r="C2281" s="498"/>
      <x:c r="D2281" s="498"/>
      <x:c r="E2281" s="498"/>
      <x:c r="F2281" s="498"/>
      <x:c r="G2281" s="498"/>
      <x:c r="H2281" s="498"/>
      <x:c r="I2281" s="498"/>
      <x:c r="J2281" s="498"/>
      <x:c r="K2281" s="498"/>
      <x:c r="L2281" s="498"/>
      <x:c r="M2281" s="498"/>
    </x:row>
    <x:row r="2282" ht="18" customHeight="1">
      <x:c r="A2282" s="498"/>
      <x:c r="B2282" s="498"/>
      <x:c r="C2282" s="498"/>
      <x:c r="D2282" s="498"/>
      <x:c r="E2282" s="498"/>
      <x:c r="F2282" s="498"/>
      <x:c r="G2282" s="498"/>
      <x:c r="H2282" s="498"/>
      <x:c r="I2282" s="498"/>
      <x:c r="J2282" s="498"/>
      <x:c r="K2282" s="498"/>
      <x:c r="L2282" s="498"/>
      <x:c r="M2282" s="498"/>
    </x:row>
    <x:row r="2283" ht="18" customHeight="1">
      <x:c r="A2283" s="498"/>
      <x:c r="B2283" s="498"/>
      <x:c r="C2283" s="498"/>
      <x:c r="D2283" s="498"/>
      <x:c r="E2283" s="498"/>
      <x:c r="F2283" s="498"/>
      <x:c r="G2283" s="498"/>
      <x:c r="H2283" s="498"/>
      <x:c r="I2283" s="498"/>
      <x:c r="J2283" s="498"/>
      <x:c r="K2283" s="498"/>
      <x:c r="L2283" s="498"/>
      <x:c r="M2283" s="498"/>
    </x:row>
    <x:row r="2284" ht="18" customHeight="1">
      <x:c r="A2284" s="498"/>
      <x:c r="B2284" s="498"/>
      <x:c r="C2284" s="498"/>
      <x:c r="D2284" s="498"/>
      <x:c r="E2284" s="498"/>
      <x:c r="F2284" s="498"/>
      <x:c r="G2284" s="498"/>
      <x:c r="H2284" s="498"/>
      <x:c r="I2284" s="498"/>
      <x:c r="J2284" s="498"/>
      <x:c r="K2284" s="498"/>
      <x:c r="L2284" s="498"/>
      <x:c r="M2284" s="498"/>
    </x:row>
    <x:row r="2285" ht="18" customHeight="1">
      <x:c r="A2285" s="498"/>
      <x:c r="B2285" s="498"/>
      <x:c r="C2285" s="498"/>
      <x:c r="D2285" s="498"/>
      <x:c r="E2285" s="498"/>
      <x:c r="F2285" s="498"/>
      <x:c r="G2285" s="498"/>
      <x:c r="H2285" s="498"/>
      <x:c r="I2285" s="498"/>
      <x:c r="J2285" s="498"/>
      <x:c r="K2285" s="498"/>
      <x:c r="L2285" s="498"/>
      <x:c r="M2285" s="498"/>
    </x:row>
    <x:row r="2286" ht="18" customHeight="1">
      <x:c r="A2286" s="498"/>
      <x:c r="B2286" s="498"/>
      <x:c r="C2286" s="498"/>
      <x:c r="D2286" s="498"/>
      <x:c r="E2286" s="498"/>
      <x:c r="F2286" s="498"/>
      <x:c r="G2286" s="498"/>
      <x:c r="H2286" s="498"/>
      <x:c r="I2286" s="498"/>
      <x:c r="J2286" s="498"/>
      <x:c r="K2286" s="498"/>
      <x:c r="L2286" s="498"/>
      <x:c r="M2286" s="498"/>
    </x:row>
    <x:row r="2287" ht="18" customHeight="1">
      <x:c r="A2287" s="498"/>
      <x:c r="B2287" s="498"/>
      <x:c r="C2287" s="498"/>
      <x:c r="D2287" s="498"/>
      <x:c r="E2287" s="498"/>
      <x:c r="F2287" s="498"/>
      <x:c r="G2287" s="498"/>
      <x:c r="H2287" s="498"/>
      <x:c r="I2287" s="498"/>
      <x:c r="J2287" s="498"/>
      <x:c r="K2287" s="498"/>
      <x:c r="L2287" s="498"/>
      <x:c r="M2287" s="498"/>
    </x:row>
    <x:row r="2288" ht="18" customHeight="1">
      <x:c r="A2288" s="498"/>
      <x:c r="B2288" s="498"/>
      <x:c r="C2288" s="498"/>
      <x:c r="D2288" s="498"/>
      <x:c r="E2288" s="498"/>
      <x:c r="F2288" s="498"/>
      <x:c r="G2288" s="498"/>
      <x:c r="H2288" s="498"/>
      <x:c r="I2288" s="498"/>
      <x:c r="J2288" s="498"/>
      <x:c r="K2288" s="498"/>
      <x:c r="L2288" s="498"/>
      <x:c r="M2288" s="498"/>
    </x:row>
    <x:row r="2289" ht="18" customHeight="1">
      <x:c r="A2289" s="498"/>
      <x:c r="B2289" s="498"/>
      <x:c r="C2289" s="498"/>
      <x:c r="D2289" s="498"/>
      <x:c r="E2289" s="498"/>
      <x:c r="F2289" s="498"/>
      <x:c r="G2289" s="498"/>
      <x:c r="H2289" s="498"/>
      <x:c r="I2289" s="498"/>
      <x:c r="J2289" s="498"/>
      <x:c r="K2289" s="498"/>
      <x:c r="L2289" s="498"/>
      <x:c r="M2289" s="498"/>
    </x:row>
    <x:row r="2290" ht="18" customHeight="1">
      <x:c r="A2290" s="498"/>
      <x:c r="B2290" s="498"/>
      <x:c r="C2290" s="498"/>
      <x:c r="D2290" s="498"/>
      <x:c r="E2290" s="498"/>
      <x:c r="F2290" s="498"/>
      <x:c r="G2290" s="498"/>
      <x:c r="H2290" s="498"/>
      <x:c r="I2290" s="498"/>
      <x:c r="J2290" s="498"/>
      <x:c r="K2290" s="498"/>
      <x:c r="L2290" s="498"/>
      <x:c r="M2290" s="498"/>
    </x:row>
    <x:row r="2291" ht="18" customHeight="1">
      <x:c r="A2291" s="498"/>
      <x:c r="B2291" s="498"/>
      <x:c r="C2291" s="498"/>
      <x:c r="D2291" s="498"/>
      <x:c r="E2291" s="498"/>
      <x:c r="F2291" s="498"/>
      <x:c r="G2291" s="498"/>
      <x:c r="H2291" s="498"/>
      <x:c r="I2291" s="498"/>
      <x:c r="J2291" s="498"/>
      <x:c r="K2291" s="498"/>
      <x:c r="L2291" s="498"/>
      <x:c r="M2291" s="498"/>
    </x:row>
    <x:row r="2292" ht="18" customHeight="1">
      <x:c r="A2292" s="498"/>
      <x:c r="B2292" s="498"/>
      <x:c r="C2292" s="498"/>
      <x:c r="D2292" s="498"/>
      <x:c r="E2292" s="498"/>
      <x:c r="F2292" s="498"/>
      <x:c r="G2292" s="498"/>
      <x:c r="H2292" s="498"/>
      <x:c r="I2292" s="498"/>
      <x:c r="J2292" s="498"/>
      <x:c r="K2292" s="498"/>
      <x:c r="L2292" s="498"/>
      <x:c r="M2292" s="498"/>
    </x:row>
    <x:row r="2293" ht="18" customHeight="1">
      <x:c r="A2293" s="498"/>
      <x:c r="B2293" s="498"/>
      <x:c r="C2293" s="498"/>
      <x:c r="D2293" s="498"/>
      <x:c r="E2293" s="498"/>
      <x:c r="F2293" s="498"/>
      <x:c r="G2293" s="498"/>
      <x:c r="H2293" s="498"/>
      <x:c r="I2293" s="498"/>
      <x:c r="J2293" s="498"/>
      <x:c r="K2293" s="498"/>
      <x:c r="L2293" s="498"/>
      <x:c r="M2293" s="498"/>
    </x:row>
    <x:row r="2294" ht="18" customHeight="1">
      <x:c r="A2294" s="498"/>
      <x:c r="B2294" s="498"/>
      <x:c r="C2294" s="498"/>
      <x:c r="D2294" s="498"/>
      <x:c r="E2294" s="498"/>
      <x:c r="F2294" s="498"/>
      <x:c r="G2294" s="498"/>
      <x:c r="H2294" s="498"/>
      <x:c r="I2294" s="498"/>
      <x:c r="J2294" s="498"/>
      <x:c r="K2294" s="498"/>
      <x:c r="L2294" s="498"/>
      <x:c r="M2294" s="498"/>
    </x:row>
    <x:row r="2295" ht="18" customHeight="1">
      <x:c r="A2295" s="498"/>
      <x:c r="B2295" s="498"/>
      <x:c r="C2295" s="498"/>
      <x:c r="D2295" s="498"/>
      <x:c r="E2295" s="498"/>
      <x:c r="F2295" s="498"/>
      <x:c r="G2295" s="498"/>
      <x:c r="H2295" s="498"/>
      <x:c r="I2295" s="498"/>
      <x:c r="J2295" s="498"/>
      <x:c r="K2295" s="498"/>
      <x:c r="L2295" s="498"/>
      <x:c r="M2295" s="498"/>
    </x:row>
    <x:row r="2296" ht="18" customHeight="1">
      <x:c r="A2296" s="498"/>
      <x:c r="B2296" s="498"/>
      <x:c r="C2296" s="498"/>
      <x:c r="D2296" s="498"/>
      <x:c r="E2296" s="498"/>
      <x:c r="F2296" s="498"/>
      <x:c r="G2296" s="498"/>
      <x:c r="H2296" s="498"/>
      <x:c r="I2296" s="498"/>
      <x:c r="J2296" s="498"/>
      <x:c r="K2296" s="498"/>
      <x:c r="L2296" s="498"/>
      <x:c r="M2296" s="498"/>
    </x:row>
    <x:row r="2297" ht="18" customHeight="1">
      <x:c r="A2297" s="498"/>
      <x:c r="B2297" s="498"/>
      <x:c r="C2297" s="498"/>
      <x:c r="D2297" s="498"/>
      <x:c r="E2297" s="498"/>
      <x:c r="F2297" s="498"/>
      <x:c r="G2297" s="498"/>
      <x:c r="H2297" s="498"/>
      <x:c r="I2297" s="498"/>
      <x:c r="J2297" s="498"/>
      <x:c r="K2297" s="498"/>
      <x:c r="L2297" s="498"/>
      <x:c r="M2297" s="498"/>
    </x:row>
    <x:row r="2298" ht="18" customHeight="1">
      <x:c r="A2298" s="498"/>
      <x:c r="B2298" s="498"/>
      <x:c r="C2298" s="498"/>
      <x:c r="D2298" s="498"/>
      <x:c r="E2298" s="498"/>
      <x:c r="F2298" s="498"/>
      <x:c r="G2298" s="498"/>
      <x:c r="H2298" s="498"/>
      <x:c r="I2298" s="498"/>
      <x:c r="J2298" s="498"/>
      <x:c r="K2298" s="498"/>
      <x:c r="L2298" s="498"/>
      <x:c r="M2298" s="498"/>
    </x:row>
    <x:row r="2299" ht="18" customHeight="1">
      <x:c r="A2299" s="498"/>
      <x:c r="B2299" s="498"/>
      <x:c r="C2299" s="498"/>
      <x:c r="D2299" s="498"/>
      <x:c r="E2299" s="498"/>
      <x:c r="F2299" s="498"/>
      <x:c r="G2299" s="498"/>
      <x:c r="H2299" s="498"/>
      <x:c r="I2299" s="498"/>
      <x:c r="J2299" s="498"/>
      <x:c r="K2299" s="498"/>
      <x:c r="L2299" s="498"/>
      <x:c r="M2299" s="498"/>
    </x:row>
    <x:row r="2300" ht="18" customHeight="1">
      <x:c r="A2300" s="498"/>
      <x:c r="B2300" s="498"/>
      <x:c r="C2300" s="498"/>
      <x:c r="D2300" s="498"/>
      <x:c r="E2300" s="498"/>
      <x:c r="F2300" s="498"/>
      <x:c r="G2300" s="498"/>
      <x:c r="H2300" s="498"/>
      <x:c r="I2300" s="498"/>
      <x:c r="J2300" s="498"/>
      <x:c r="K2300" s="498"/>
      <x:c r="L2300" s="498"/>
      <x:c r="M2300" s="498"/>
    </x:row>
    <x:row r="2301" ht="18" customHeight="1">
      <x:c r="A2301" s="498"/>
      <x:c r="B2301" s="498"/>
      <x:c r="C2301" s="498"/>
      <x:c r="D2301" s="498"/>
      <x:c r="E2301" s="498"/>
      <x:c r="F2301" s="498"/>
      <x:c r="G2301" s="498"/>
      <x:c r="H2301" s="498"/>
      <x:c r="I2301" s="498"/>
      <x:c r="J2301" s="498"/>
      <x:c r="K2301" s="498"/>
      <x:c r="L2301" s="498"/>
      <x:c r="M2301" s="498"/>
    </x:row>
    <x:row r="2302" ht="18" customHeight="1">
      <x:c r="A2302" s="498"/>
      <x:c r="B2302" s="498"/>
      <x:c r="C2302" s="498"/>
      <x:c r="D2302" s="498"/>
      <x:c r="E2302" s="498"/>
      <x:c r="F2302" s="498"/>
      <x:c r="G2302" s="498"/>
      <x:c r="H2302" s="498"/>
      <x:c r="I2302" s="498"/>
      <x:c r="J2302" s="498"/>
      <x:c r="K2302" s="498"/>
      <x:c r="L2302" s="498"/>
      <x:c r="M2302" s="498"/>
    </x:row>
    <x:row r="2303" ht="18" customHeight="1">
      <x:c r="A2303" s="498"/>
      <x:c r="B2303" s="498"/>
      <x:c r="C2303" s="498"/>
      <x:c r="D2303" s="498"/>
      <x:c r="E2303" s="498"/>
      <x:c r="F2303" s="498"/>
      <x:c r="G2303" s="498"/>
      <x:c r="H2303" s="498"/>
      <x:c r="I2303" s="498"/>
      <x:c r="J2303" s="498"/>
      <x:c r="K2303" s="498"/>
      <x:c r="L2303" s="498"/>
      <x:c r="M2303" s="498"/>
    </x:row>
    <x:row r="2304" ht="18" customHeight="1">
      <x:c r="A2304" s="498"/>
      <x:c r="B2304" s="498"/>
      <x:c r="C2304" s="498"/>
      <x:c r="D2304" s="498"/>
      <x:c r="E2304" s="498"/>
      <x:c r="F2304" s="498"/>
      <x:c r="G2304" s="498"/>
      <x:c r="H2304" s="498"/>
      <x:c r="I2304" s="498"/>
      <x:c r="J2304" s="498"/>
      <x:c r="K2304" s="498"/>
      <x:c r="L2304" s="498"/>
      <x:c r="M2304" s="498"/>
    </x:row>
    <x:row r="2305" ht="18" customHeight="1">
      <x:c r="A2305" s="498"/>
      <x:c r="B2305" s="498"/>
      <x:c r="C2305" s="498"/>
      <x:c r="D2305" s="498"/>
      <x:c r="E2305" s="498"/>
      <x:c r="F2305" s="498"/>
      <x:c r="G2305" s="498"/>
      <x:c r="H2305" s="498"/>
      <x:c r="I2305" s="498"/>
      <x:c r="J2305" s="498"/>
      <x:c r="K2305" s="498"/>
      <x:c r="L2305" s="498"/>
      <x:c r="M2305" s="498"/>
    </x:row>
    <x:row r="2306" ht="18" customHeight="1">
      <x:c r="A2306" s="498"/>
      <x:c r="B2306" s="498"/>
      <x:c r="C2306" s="498"/>
      <x:c r="D2306" s="498"/>
      <x:c r="E2306" s="498"/>
      <x:c r="F2306" s="498"/>
      <x:c r="G2306" s="498"/>
      <x:c r="H2306" s="498"/>
      <x:c r="I2306" s="498"/>
      <x:c r="J2306" s="498"/>
      <x:c r="K2306" s="498"/>
      <x:c r="L2306" s="498"/>
      <x:c r="M2306" s="498"/>
    </x:row>
    <x:row r="2307" ht="18" customHeight="1">
      <x:c r="A2307" s="498"/>
      <x:c r="B2307" s="498"/>
      <x:c r="C2307" s="498"/>
      <x:c r="D2307" s="498"/>
      <x:c r="E2307" s="498"/>
      <x:c r="F2307" s="498"/>
      <x:c r="G2307" s="498"/>
      <x:c r="H2307" s="498"/>
      <x:c r="I2307" s="498"/>
      <x:c r="J2307" s="498"/>
      <x:c r="K2307" s="498"/>
      <x:c r="L2307" s="498"/>
      <x:c r="M2307" s="498"/>
    </x:row>
    <x:row r="2308" ht="18" customHeight="1">
      <x:c r="A2308" s="498"/>
      <x:c r="B2308" s="498"/>
      <x:c r="C2308" s="498"/>
      <x:c r="D2308" s="498"/>
      <x:c r="E2308" s="498"/>
      <x:c r="F2308" s="498"/>
      <x:c r="G2308" s="498"/>
      <x:c r="H2308" s="498"/>
      <x:c r="I2308" s="498"/>
      <x:c r="J2308" s="498"/>
      <x:c r="K2308" s="498"/>
      <x:c r="L2308" s="498"/>
      <x:c r="M2308" s="498"/>
    </x:row>
    <x:row r="2309" ht="18" customHeight="1">
      <x:c r="A2309" s="498"/>
      <x:c r="B2309" s="498"/>
      <x:c r="C2309" s="498"/>
      <x:c r="D2309" s="498"/>
      <x:c r="E2309" s="498"/>
      <x:c r="F2309" s="498"/>
      <x:c r="G2309" s="498"/>
      <x:c r="H2309" s="498"/>
      <x:c r="I2309" s="498"/>
      <x:c r="J2309" s="498"/>
      <x:c r="K2309" s="498"/>
      <x:c r="L2309" s="498"/>
      <x:c r="M2309" s="498"/>
    </x:row>
    <x:row r="2310" ht="18" customHeight="1">
      <x:c r="A2310" s="498"/>
      <x:c r="B2310" s="498"/>
      <x:c r="C2310" s="498"/>
      <x:c r="D2310" s="498"/>
      <x:c r="E2310" s="498"/>
      <x:c r="F2310" s="498"/>
      <x:c r="G2310" s="498"/>
      <x:c r="H2310" s="498"/>
      <x:c r="I2310" s="498"/>
      <x:c r="J2310" s="498"/>
      <x:c r="K2310" s="498"/>
      <x:c r="L2310" s="498"/>
      <x:c r="M2310" s="498"/>
    </x:row>
    <x:row r="2311" ht="18" customHeight="1">
      <x:c r="A2311" s="498"/>
      <x:c r="B2311" s="498"/>
      <x:c r="C2311" s="498"/>
      <x:c r="D2311" s="498"/>
      <x:c r="E2311" s="498"/>
      <x:c r="F2311" s="498"/>
      <x:c r="G2311" s="498"/>
      <x:c r="H2311" s="498"/>
      <x:c r="I2311" s="498"/>
      <x:c r="J2311" s="498"/>
      <x:c r="K2311" s="498"/>
      <x:c r="L2311" s="498"/>
      <x:c r="M2311" s="498"/>
    </x:row>
    <x:row r="2312" ht="18" customHeight="1">
      <x:c r="A2312" s="498"/>
      <x:c r="B2312" s="498"/>
      <x:c r="C2312" s="498"/>
      <x:c r="D2312" s="498"/>
      <x:c r="E2312" s="498"/>
      <x:c r="F2312" s="498"/>
      <x:c r="G2312" s="498"/>
      <x:c r="H2312" s="498"/>
      <x:c r="I2312" s="498"/>
      <x:c r="J2312" s="498"/>
      <x:c r="K2312" s="498"/>
      <x:c r="L2312" s="498"/>
      <x:c r="M2312" s="498"/>
    </x:row>
    <x:row r="2313" ht="18" customHeight="1">
      <x:c r="A2313" s="498"/>
      <x:c r="B2313" s="498"/>
      <x:c r="C2313" s="498"/>
      <x:c r="D2313" s="498"/>
      <x:c r="E2313" s="498"/>
      <x:c r="F2313" s="498"/>
      <x:c r="G2313" s="498"/>
      <x:c r="H2313" s="498"/>
      <x:c r="I2313" s="498"/>
      <x:c r="J2313" s="498"/>
      <x:c r="K2313" s="498"/>
      <x:c r="L2313" s="498"/>
      <x:c r="M2313" s="498"/>
    </x:row>
    <x:row r="2314" ht="18" customHeight="1">
      <x:c r="A2314" s="498"/>
      <x:c r="B2314" s="498"/>
      <x:c r="C2314" s="498"/>
      <x:c r="D2314" s="498"/>
      <x:c r="E2314" s="498"/>
      <x:c r="F2314" s="498"/>
      <x:c r="G2314" s="498"/>
      <x:c r="H2314" s="498"/>
      <x:c r="I2314" s="498"/>
      <x:c r="J2314" s="498"/>
      <x:c r="K2314" s="498"/>
      <x:c r="L2314" s="498"/>
      <x:c r="M2314" s="498"/>
    </x:row>
    <x:row r="2315" ht="18" customHeight="1">
      <x:c r="A2315" s="498"/>
      <x:c r="B2315" s="498"/>
      <x:c r="C2315" s="498"/>
      <x:c r="D2315" s="498"/>
      <x:c r="E2315" s="498"/>
      <x:c r="F2315" s="498"/>
      <x:c r="G2315" s="498"/>
      <x:c r="H2315" s="498"/>
      <x:c r="I2315" s="498"/>
      <x:c r="J2315" s="498"/>
      <x:c r="K2315" s="498"/>
      <x:c r="L2315" s="498"/>
      <x:c r="M2315" s="498"/>
    </x:row>
    <x:row r="2316" ht="18" customHeight="1">
      <x:c r="A2316" s="498"/>
      <x:c r="B2316" s="498"/>
      <x:c r="C2316" s="498"/>
      <x:c r="D2316" s="498"/>
      <x:c r="E2316" s="498"/>
      <x:c r="F2316" s="498"/>
      <x:c r="G2316" s="498"/>
      <x:c r="H2316" s="498"/>
      <x:c r="I2316" s="498"/>
      <x:c r="J2316" s="498"/>
      <x:c r="K2316" s="498"/>
      <x:c r="L2316" s="498"/>
      <x:c r="M2316" s="498"/>
    </x:row>
    <x:row r="2317" ht="18" customHeight="1">
      <x:c r="A2317" s="498"/>
      <x:c r="B2317" s="498"/>
      <x:c r="C2317" s="498"/>
      <x:c r="D2317" s="498"/>
      <x:c r="E2317" s="498"/>
      <x:c r="F2317" s="498"/>
      <x:c r="G2317" s="498"/>
      <x:c r="H2317" s="498"/>
      <x:c r="I2317" s="498"/>
      <x:c r="J2317" s="498"/>
      <x:c r="K2317" s="498"/>
      <x:c r="L2317" s="498"/>
      <x:c r="M2317" s="498"/>
    </x:row>
    <x:row r="2318" ht="18" customHeight="1">
      <x:c r="A2318" s="498"/>
      <x:c r="B2318" s="498"/>
      <x:c r="C2318" s="498"/>
      <x:c r="D2318" s="498"/>
      <x:c r="E2318" s="498"/>
      <x:c r="F2318" s="498"/>
      <x:c r="G2318" s="498"/>
      <x:c r="H2318" s="498"/>
      <x:c r="I2318" s="498"/>
      <x:c r="J2318" s="498"/>
      <x:c r="K2318" s="498"/>
      <x:c r="L2318" s="498"/>
      <x:c r="M2318" s="498"/>
    </x:row>
    <x:row r="2319" ht="18" customHeight="1">
      <x:c r="A2319" s="498"/>
      <x:c r="B2319" s="498"/>
      <x:c r="C2319" s="498"/>
      <x:c r="D2319" s="498"/>
      <x:c r="E2319" s="498"/>
      <x:c r="F2319" s="498"/>
      <x:c r="G2319" s="498"/>
      <x:c r="H2319" s="498"/>
      <x:c r="I2319" s="498"/>
      <x:c r="J2319" s="498"/>
      <x:c r="K2319" s="498"/>
      <x:c r="L2319" s="498"/>
      <x:c r="M2319" s="498"/>
    </x:row>
    <x:row r="2320" ht="18" customHeight="1">
      <x:c r="A2320" s="498"/>
      <x:c r="B2320" s="498"/>
      <x:c r="C2320" s="498"/>
      <x:c r="D2320" s="498"/>
      <x:c r="E2320" s="498"/>
      <x:c r="F2320" s="498"/>
      <x:c r="G2320" s="498"/>
      <x:c r="H2320" s="498"/>
      <x:c r="I2320" s="498"/>
      <x:c r="J2320" s="498"/>
      <x:c r="K2320" s="498"/>
      <x:c r="L2320" s="498"/>
      <x:c r="M2320" s="498"/>
    </x:row>
    <x:row r="2321" ht="18" customHeight="1">
      <x:c r="A2321" s="498"/>
      <x:c r="B2321" s="498"/>
      <x:c r="C2321" s="498"/>
      <x:c r="D2321" s="498"/>
      <x:c r="E2321" s="498"/>
      <x:c r="F2321" s="498"/>
      <x:c r="G2321" s="498"/>
      <x:c r="H2321" s="498"/>
      <x:c r="I2321" s="498"/>
      <x:c r="J2321" s="498"/>
      <x:c r="K2321" s="498"/>
      <x:c r="L2321" s="498"/>
      <x:c r="M2321" s="498"/>
    </x:row>
    <x:row r="2322" ht="18" customHeight="1">
      <x:c r="A2322" s="498"/>
      <x:c r="B2322" s="498"/>
      <x:c r="C2322" s="498"/>
      <x:c r="D2322" s="498"/>
      <x:c r="E2322" s="498"/>
      <x:c r="F2322" s="498"/>
      <x:c r="G2322" s="498"/>
      <x:c r="H2322" s="498"/>
      <x:c r="I2322" s="498"/>
      <x:c r="J2322" s="498"/>
      <x:c r="K2322" s="498"/>
      <x:c r="L2322" s="498"/>
      <x:c r="M2322" s="498"/>
    </x:row>
    <x:row r="2323" ht="18" customHeight="1">
      <x:c r="A2323" s="498"/>
      <x:c r="B2323" s="498"/>
      <x:c r="C2323" s="498"/>
      <x:c r="D2323" s="498"/>
      <x:c r="E2323" s="498"/>
      <x:c r="F2323" s="498"/>
      <x:c r="G2323" s="498"/>
      <x:c r="H2323" s="498"/>
      <x:c r="I2323" s="498"/>
      <x:c r="J2323" s="498"/>
      <x:c r="K2323" s="498"/>
      <x:c r="L2323" s="498"/>
      <x:c r="M2323" s="498"/>
    </x:row>
    <x:row r="2324" ht="18" customHeight="1">
      <x:c r="A2324" s="498"/>
      <x:c r="B2324" s="498"/>
      <x:c r="C2324" s="498"/>
      <x:c r="D2324" s="498"/>
      <x:c r="E2324" s="498"/>
      <x:c r="F2324" s="498"/>
      <x:c r="G2324" s="498"/>
      <x:c r="H2324" s="498"/>
      <x:c r="I2324" s="498"/>
      <x:c r="J2324" s="498"/>
      <x:c r="K2324" s="498"/>
      <x:c r="L2324" s="498"/>
      <x:c r="M2324" s="498"/>
    </x:row>
    <x:row r="2325" ht="18" customHeight="1">
      <x:c r="A2325" s="498"/>
      <x:c r="B2325" s="498"/>
      <x:c r="C2325" s="498"/>
      <x:c r="D2325" s="498"/>
      <x:c r="E2325" s="498"/>
      <x:c r="F2325" s="498"/>
      <x:c r="G2325" s="498"/>
      <x:c r="H2325" s="498"/>
      <x:c r="I2325" s="498"/>
      <x:c r="J2325" s="498"/>
      <x:c r="K2325" s="498"/>
      <x:c r="L2325" s="498"/>
      <x:c r="M2325" s="498"/>
    </x:row>
    <x:row r="2326" ht="18" customHeight="1">
      <x:c r="A2326" s="498"/>
      <x:c r="B2326" s="498"/>
      <x:c r="C2326" s="498"/>
      <x:c r="D2326" s="498"/>
      <x:c r="E2326" s="498"/>
      <x:c r="F2326" s="498"/>
      <x:c r="G2326" s="498"/>
      <x:c r="H2326" s="498"/>
      <x:c r="I2326" s="498"/>
      <x:c r="J2326" s="498"/>
      <x:c r="K2326" s="498"/>
      <x:c r="L2326" s="498"/>
      <x:c r="M2326" s="498"/>
    </x:row>
    <x:row r="2327" ht="18" customHeight="1">
      <x:c r="A2327" s="498"/>
      <x:c r="B2327" s="498"/>
      <x:c r="C2327" s="498"/>
      <x:c r="D2327" s="498"/>
      <x:c r="E2327" s="498"/>
      <x:c r="F2327" s="498"/>
      <x:c r="G2327" s="498"/>
      <x:c r="H2327" s="498"/>
      <x:c r="I2327" s="498"/>
      <x:c r="J2327" s="498"/>
      <x:c r="K2327" s="498"/>
      <x:c r="L2327" s="498"/>
      <x:c r="M2327" s="498"/>
    </x:row>
    <x:row r="2328" ht="18" customHeight="1">
      <x:c r="A2328" s="498"/>
      <x:c r="B2328" s="498"/>
      <x:c r="C2328" s="498"/>
      <x:c r="D2328" s="498"/>
      <x:c r="E2328" s="498"/>
      <x:c r="F2328" s="498"/>
      <x:c r="G2328" s="498"/>
      <x:c r="H2328" s="498"/>
      <x:c r="I2328" s="498"/>
      <x:c r="J2328" s="498"/>
      <x:c r="K2328" s="498"/>
      <x:c r="L2328" s="498"/>
      <x:c r="M2328" s="498"/>
    </x:row>
    <x:row r="2329" ht="18" customHeight="1">
      <x:c r="A2329" s="498"/>
      <x:c r="B2329" s="498"/>
      <x:c r="C2329" s="498"/>
      <x:c r="D2329" s="498"/>
      <x:c r="E2329" s="498"/>
      <x:c r="F2329" s="498"/>
      <x:c r="G2329" s="498"/>
      <x:c r="H2329" s="498"/>
      <x:c r="I2329" s="498"/>
      <x:c r="J2329" s="498"/>
      <x:c r="K2329" s="498"/>
      <x:c r="L2329" s="498"/>
      <x:c r="M2329" s="498"/>
    </x:row>
    <x:row r="2330" ht="18" customHeight="1">
      <x:c r="A2330" s="498"/>
      <x:c r="B2330" s="498"/>
      <x:c r="C2330" s="498"/>
      <x:c r="D2330" s="498"/>
      <x:c r="E2330" s="498"/>
      <x:c r="F2330" s="498"/>
      <x:c r="G2330" s="498"/>
      <x:c r="H2330" s="498"/>
      <x:c r="I2330" s="498"/>
      <x:c r="J2330" s="498"/>
      <x:c r="K2330" s="498"/>
      <x:c r="L2330" s="498"/>
      <x:c r="M2330" s="498"/>
    </x:row>
    <x:row r="2331" ht="18" customHeight="1">
      <x:c r="A2331" s="498"/>
      <x:c r="B2331" s="498"/>
      <x:c r="C2331" s="498"/>
      <x:c r="D2331" s="498"/>
      <x:c r="E2331" s="498"/>
      <x:c r="F2331" s="498"/>
      <x:c r="G2331" s="498"/>
      <x:c r="H2331" s="498"/>
      <x:c r="I2331" s="498"/>
      <x:c r="J2331" s="498"/>
      <x:c r="K2331" s="498"/>
      <x:c r="L2331" s="498"/>
      <x:c r="M2331" s="498"/>
    </x:row>
    <x:row r="2332" ht="18" customHeight="1">
      <x:c r="A2332" s="498"/>
      <x:c r="B2332" s="498"/>
      <x:c r="C2332" s="498"/>
      <x:c r="D2332" s="498"/>
      <x:c r="E2332" s="498"/>
      <x:c r="F2332" s="498"/>
      <x:c r="G2332" s="498"/>
      <x:c r="H2332" s="498"/>
      <x:c r="I2332" s="498"/>
      <x:c r="J2332" s="498"/>
      <x:c r="K2332" s="498"/>
      <x:c r="L2332" s="498"/>
      <x:c r="M2332" s="498"/>
    </x:row>
    <x:row r="2333" ht="18" customHeight="1">
      <x:c r="A2333" s="498"/>
      <x:c r="B2333" s="498"/>
      <x:c r="C2333" s="498"/>
      <x:c r="D2333" s="498"/>
      <x:c r="E2333" s="498"/>
      <x:c r="F2333" s="498"/>
      <x:c r="G2333" s="498"/>
      <x:c r="H2333" s="498"/>
      <x:c r="I2333" s="498"/>
      <x:c r="J2333" s="498"/>
      <x:c r="K2333" s="498"/>
      <x:c r="L2333" s="498"/>
      <x:c r="M2333" s="498"/>
    </x:row>
    <x:row r="2334" ht="18" customHeight="1">
      <x:c r="A2334" s="498"/>
      <x:c r="B2334" s="498"/>
      <x:c r="C2334" s="498"/>
      <x:c r="D2334" s="498"/>
      <x:c r="E2334" s="498"/>
      <x:c r="F2334" s="498"/>
      <x:c r="G2334" s="498"/>
      <x:c r="H2334" s="498"/>
      <x:c r="I2334" s="498"/>
      <x:c r="J2334" s="498"/>
      <x:c r="K2334" s="498"/>
      <x:c r="L2334" s="498"/>
      <x:c r="M2334" s="498"/>
    </x:row>
    <x:row r="2335" ht="18" customHeight="1">
      <x:c r="A2335" s="498"/>
      <x:c r="B2335" s="498"/>
      <x:c r="C2335" s="498"/>
      <x:c r="D2335" s="498"/>
      <x:c r="E2335" s="498"/>
      <x:c r="F2335" s="498"/>
      <x:c r="G2335" s="498"/>
      <x:c r="H2335" s="498"/>
      <x:c r="I2335" s="498"/>
      <x:c r="J2335" s="498"/>
      <x:c r="K2335" s="498"/>
      <x:c r="L2335" s="498"/>
      <x:c r="M2335" s="498"/>
    </x:row>
    <x:row r="2336" ht="18" customHeight="1">
      <x:c r="A2336" s="498"/>
      <x:c r="B2336" s="498"/>
      <x:c r="C2336" s="498"/>
      <x:c r="D2336" s="498"/>
      <x:c r="E2336" s="498"/>
      <x:c r="F2336" s="498"/>
      <x:c r="G2336" s="498"/>
      <x:c r="H2336" s="498"/>
      <x:c r="I2336" s="498"/>
      <x:c r="J2336" s="498"/>
      <x:c r="K2336" s="498"/>
      <x:c r="L2336" s="498"/>
      <x:c r="M2336" s="498"/>
    </x:row>
    <x:row r="2337" ht="18" customHeight="1">
      <x:c r="A2337" s="498"/>
      <x:c r="B2337" s="498"/>
      <x:c r="C2337" s="498"/>
      <x:c r="D2337" s="498"/>
      <x:c r="E2337" s="498"/>
      <x:c r="F2337" s="498"/>
      <x:c r="G2337" s="498"/>
      <x:c r="H2337" s="498"/>
      <x:c r="I2337" s="498"/>
      <x:c r="J2337" s="498"/>
      <x:c r="K2337" s="498"/>
      <x:c r="L2337" s="498"/>
      <x:c r="M2337" s="498"/>
    </x:row>
    <x:row r="2338" ht="18" customHeight="1">
      <x:c r="A2338" s="498"/>
      <x:c r="B2338" s="498"/>
      <x:c r="C2338" s="498"/>
      <x:c r="D2338" s="498"/>
      <x:c r="E2338" s="498"/>
      <x:c r="F2338" s="498"/>
      <x:c r="G2338" s="498"/>
      <x:c r="H2338" s="498"/>
      <x:c r="I2338" s="498"/>
      <x:c r="J2338" s="498"/>
      <x:c r="K2338" s="498"/>
      <x:c r="L2338" s="498"/>
      <x:c r="M2338" s="498"/>
    </x:row>
    <x:row r="2339" ht="18" customHeight="1">
      <x:c r="A2339" s="498"/>
      <x:c r="B2339" s="498"/>
      <x:c r="C2339" s="498"/>
      <x:c r="D2339" s="498"/>
      <x:c r="E2339" s="498"/>
      <x:c r="F2339" s="498"/>
      <x:c r="G2339" s="498"/>
      <x:c r="H2339" s="498"/>
      <x:c r="I2339" s="498"/>
      <x:c r="J2339" s="498"/>
      <x:c r="K2339" s="498"/>
      <x:c r="L2339" s="498"/>
      <x:c r="M2339" s="498"/>
    </x:row>
    <x:row r="2340" ht="18" customHeight="1">
      <x:c r="A2340" s="498"/>
      <x:c r="B2340" s="498"/>
      <x:c r="C2340" s="498"/>
      <x:c r="D2340" s="498"/>
      <x:c r="E2340" s="498"/>
      <x:c r="F2340" s="498"/>
      <x:c r="G2340" s="498"/>
      <x:c r="H2340" s="498"/>
      <x:c r="I2340" s="498"/>
      <x:c r="J2340" s="498"/>
      <x:c r="K2340" s="498"/>
      <x:c r="L2340" s="498"/>
      <x:c r="M2340" s="498"/>
    </x:row>
    <x:row r="2341" ht="18" customHeight="1">
      <x:c r="A2341" s="498"/>
      <x:c r="B2341" s="498"/>
      <x:c r="C2341" s="498"/>
      <x:c r="D2341" s="498"/>
      <x:c r="E2341" s="498"/>
      <x:c r="F2341" s="498"/>
      <x:c r="G2341" s="498"/>
      <x:c r="H2341" s="498"/>
      <x:c r="I2341" s="498"/>
      <x:c r="J2341" s="498"/>
      <x:c r="K2341" s="498"/>
      <x:c r="L2341" s="498"/>
      <x:c r="M2341" s="498"/>
    </x:row>
    <x:row r="2342" ht="18" customHeight="1">
      <x:c r="A2342" s="498"/>
      <x:c r="B2342" s="498"/>
      <x:c r="C2342" s="498"/>
      <x:c r="D2342" s="498"/>
      <x:c r="E2342" s="498"/>
      <x:c r="F2342" s="498"/>
      <x:c r="G2342" s="498"/>
      <x:c r="H2342" s="498"/>
      <x:c r="I2342" s="498"/>
      <x:c r="J2342" s="498"/>
      <x:c r="K2342" s="498"/>
      <x:c r="L2342" s="498"/>
      <x:c r="M2342" s="498"/>
    </x:row>
    <x:row r="2343" ht="18" customHeight="1">
      <x:c r="A2343" s="498"/>
      <x:c r="B2343" s="498"/>
      <x:c r="C2343" s="498"/>
      <x:c r="D2343" s="498"/>
      <x:c r="E2343" s="498"/>
      <x:c r="F2343" s="498"/>
      <x:c r="G2343" s="498"/>
      <x:c r="H2343" s="498"/>
      <x:c r="I2343" s="498"/>
      <x:c r="J2343" s="498"/>
      <x:c r="K2343" s="498"/>
      <x:c r="L2343" s="498"/>
      <x:c r="M2343" s="498"/>
    </x:row>
    <x:row r="2344" ht="18" customHeight="1">
      <x:c r="A2344" s="498"/>
      <x:c r="B2344" s="498"/>
      <x:c r="C2344" s="498"/>
      <x:c r="D2344" s="498"/>
      <x:c r="E2344" s="498"/>
      <x:c r="F2344" s="498"/>
      <x:c r="G2344" s="498"/>
      <x:c r="H2344" s="498"/>
      <x:c r="I2344" s="498"/>
      <x:c r="J2344" s="498"/>
      <x:c r="K2344" s="498"/>
      <x:c r="L2344" s="498"/>
      <x:c r="M2344" s="498"/>
    </x:row>
    <x:row r="2345" ht="18" customHeight="1">
      <x:c r="A2345" s="498"/>
      <x:c r="B2345" s="498"/>
      <x:c r="C2345" s="498"/>
      <x:c r="D2345" s="498"/>
      <x:c r="E2345" s="498"/>
      <x:c r="F2345" s="498"/>
      <x:c r="G2345" s="498"/>
      <x:c r="H2345" s="498"/>
      <x:c r="I2345" s="498"/>
      <x:c r="J2345" s="498"/>
      <x:c r="K2345" s="498"/>
      <x:c r="L2345" s="498"/>
      <x:c r="M2345" s="498"/>
    </x:row>
    <x:row r="2346" ht="18" customHeight="1">
      <x:c r="A2346" s="498"/>
      <x:c r="B2346" s="498"/>
      <x:c r="C2346" s="498"/>
      <x:c r="D2346" s="498"/>
      <x:c r="E2346" s="498"/>
      <x:c r="F2346" s="498"/>
      <x:c r="G2346" s="498"/>
      <x:c r="H2346" s="498"/>
      <x:c r="I2346" s="498"/>
      <x:c r="J2346" s="498"/>
      <x:c r="K2346" s="498"/>
      <x:c r="L2346" s="498"/>
      <x:c r="M2346" s="498"/>
    </x:row>
    <x:row r="2347" ht="18" customHeight="1">
      <x:c r="A2347" s="498"/>
      <x:c r="B2347" s="498"/>
      <x:c r="C2347" s="498"/>
      <x:c r="D2347" s="498"/>
      <x:c r="E2347" s="498"/>
      <x:c r="F2347" s="498"/>
      <x:c r="G2347" s="498"/>
      <x:c r="H2347" s="498"/>
      <x:c r="I2347" s="498"/>
      <x:c r="J2347" s="498"/>
      <x:c r="K2347" s="498"/>
      <x:c r="L2347" s="498"/>
      <x:c r="M2347" s="498"/>
    </x:row>
    <x:row r="2348" ht="18" customHeight="1">
      <x:c r="A2348" s="498"/>
      <x:c r="B2348" s="498"/>
      <x:c r="C2348" s="498"/>
      <x:c r="D2348" s="498"/>
      <x:c r="E2348" s="498"/>
      <x:c r="F2348" s="498"/>
      <x:c r="G2348" s="498"/>
      <x:c r="H2348" s="498"/>
      <x:c r="I2348" s="498"/>
      <x:c r="J2348" s="498"/>
      <x:c r="K2348" s="498"/>
      <x:c r="L2348" s="498"/>
      <x:c r="M2348" s="498"/>
    </x:row>
    <x:row r="2349" ht="18" customHeight="1">
      <x:c r="A2349" s="498"/>
      <x:c r="B2349" s="498"/>
      <x:c r="C2349" s="498"/>
      <x:c r="D2349" s="498"/>
      <x:c r="E2349" s="498"/>
      <x:c r="F2349" s="498"/>
      <x:c r="G2349" s="498"/>
      <x:c r="H2349" s="498"/>
      <x:c r="I2349" s="498"/>
      <x:c r="J2349" s="498"/>
      <x:c r="K2349" s="498"/>
      <x:c r="L2349" s="498"/>
      <x:c r="M2349" s="498"/>
    </x:row>
    <x:row r="2350" ht="18" customHeight="1">
      <x:c r="A2350" s="498"/>
      <x:c r="B2350" s="498"/>
      <x:c r="C2350" s="498"/>
      <x:c r="D2350" s="498"/>
      <x:c r="E2350" s="498"/>
      <x:c r="F2350" s="498"/>
      <x:c r="G2350" s="498"/>
      <x:c r="H2350" s="498"/>
      <x:c r="I2350" s="498"/>
      <x:c r="J2350" s="498"/>
      <x:c r="K2350" s="498"/>
      <x:c r="L2350" s="498"/>
      <x:c r="M2350" s="498"/>
    </x:row>
    <x:row r="2351" ht="18" customHeight="1">
      <x:c r="A2351" s="498"/>
      <x:c r="B2351" s="498"/>
      <x:c r="C2351" s="498"/>
      <x:c r="D2351" s="498"/>
      <x:c r="E2351" s="498"/>
      <x:c r="F2351" s="498"/>
      <x:c r="G2351" s="498"/>
      <x:c r="H2351" s="498"/>
      <x:c r="I2351" s="498"/>
      <x:c r="J2351" s="498"/>
      <x:c r="K2351" s="498"/>
      <x:c r="L2351" s="498"/>
      <x:c r="M2351" s="498"/>
    </x:row>
    <x:row r="2352" ht="18" customHeight="1">
      <x:c r="A2352" s="498"/>
      <x:c r="B2352" s="498"/>
      <x:c r="C2352" s="498"/>
      <x:c r="D2352" s="498"/>
      <x:c r="E2352" s="498"/>
      <x:c r="F2352" s="498"/>
      <x:c r="G2352" s="498"/>
      <x:c r="H2352" s="498"/>
      <x:c r="I2352" s="498"/>
      <x:c r="J2352" s="498"/>
      <x:c r="K2352" s="498"/>
      <x:c r="L2352" s="498"/>
      <x:c r="M2352" s="498"/>
    </x:row>
    <x:row r="2353" ht="18" customHeight="1">
      <x:c r="A2353" s="498"/>
      <x:c r="B2353" s="498"/>
      <x:c r="C2353" s="498"/>
      <x:c r="D2353" s="498"/>
      <x:c r="E2353" s="498"/>
      <x:c r="F2353" s="498"/>
      <x:c r="G2353" s="498"/>
      <x:c r="H2353" s="498"/>
      <x:c r="I2353" s="498"/>
      <x:c r="J2353" s="498"/>
      <x:c r="K2353" s="498"/>
      <x:c r="L2353" s="498"/>
      <x:c r="M2353" s="498"/>
    </x:row>
    <x:row r="2354" ht="18" customHeight="1">
      <x:c r="A2354" s="498"/>
      <x:c r="B2354" s="498"/>
      <x:c r="C2354" s="498"/>
      <x:c r="D2354" s="498"/>
      <x:c r="E2354" s="498"/>
      <x:c r="F2354" s="498"/>
      <x:c r="G2354" s="498"/>
      <x:c r="H2354" s="498"/>
      <x:c r="I2354" s="498"/>
      <x:c r="J2354" s="498"/>
      <x:c r="K2354" s="498"/>
      <x:c r="L2354" s="498"/>
      <x:c r="M2354" s="498"/>
    </x:row>
    <x:row r="2355" ht="18" customHeight="1">
      <x:c r="A2355" s="498"/>
      <x:c r="B2355" s="498"/>
      <x:c r="C2355" s="498"/>
      <x:c r="D2355" s="498"/>
      <x:c r="E2355" s="498"/>
      <x:c r="F2355" s="498"/>
      <x:c r="G2355" s="498"/>
      <x:c r="H2355" s="498"/>
      <x:c r="I2355" s="498"/>
      <x:c r="J2355" s="498"/>
      <x:c r="K2355" s="498"/>
      <x:c r="L2355" s="498"/>
      <x:c r="M2355" s="498"/>
    </x:row>
    <x:row r="2356" ht="18" customHeight="1">
      <x:c r="A2356" s="498"/>
      <x:c r="B2356" s="498"/>
      <x:c r="C2356" s="498"/>
      <x:c r="D2356" s="498"/>
      <x:c r="E2356" s="498"/>
      <x:c r="F2356" s="498"/>
      <x:c r="G2356" s="498"/>
      <x:c r="H2356" s="498"/>
      <x:c r="I2356" s="498"/>
      <x:c r="J2356" s="498"/>
      <x:c r="K2356" s="498"/>
      <x:c r="L2356" s="498"/>
      <x:c r="M2356" s="498"/>
    </x:row>
    <x:row r="2357" ht="18" customHeight="1">
      <x:c r="A2357" s="498"/>
      <x:c r="B2357" s="498"/>
      <x:c r="C2357" s="498"/>
      <x:c r="D2357" s="498"/>
      <x:c r="E2357" s="498"/>
      <x:c r="F2357" s="498"/>
      <x:c r="G2357" s="498"/>
      <x:c r="H2357" s="498"/>
      <x:c r="I2357" s="498"/>
      <x:c r="J2357" s="498"/>
      <x:c r="K2357" s="498"/>
      <x:c r="L2357" s="498"/>
      <x:c r="M2357" s="498"/>
    </x:row>
    <x:row r="2358" ht="18" customHeight="1">
      <x:c r="A2358" s="498"/>
      <x:c r="B2358" s="498"/>
      <x:c r="C2358" s="498"/>
      <x:c r="D2358" s="498"/>
      <x:c r="E2358" s="498"/>
      <x:c r="F2358" s="498"/>
      <x:c r="G2358" s="498"/>
      <x:c r="H2358" s="498"/>
      <x:c r="I2358" s="498"/>
      <x:c r="J2358" s="498"/>
      <x:c r="K2358" s="498"/>
      <x:c r="L2358" s="498"/>
      <x:c r="M2358" s="498"/>
    </x:row>
    <x:row r="2359" ht="18" customHeight="1">
      <x:c r="A2359" s="498"/>
      <x:c r="B2359" s="498"/>
      <x:c r="C2359" s="498"/>
      <x:c r="D2359" s="498"/>
      <x:c r="E2359" s="498"/>
      <x:c r="F2359" s="498"/>
      <x:c r="G2359" s="498"/>
      <x:c r="H2359" s="498"/>
      <x:c r="I2359" s="498"/>
      <x:c r="J2359" s="498"/>
      <x:c r="K2359" s="498"/>
      <x:c r="L2359" s="498"/>
      <x:c r="M2359" s="498"/>
    </x:row>
    <x:row r="2360" ht="18" customHeight="1">
      <x:c r="A2360" s="498"/>
      <x:c r="B2360" s="498"/>
      <x:c r="C2360" s="498"/>
      <x:c r="D2360" s="498"/>
      <x:c r="E2360" s="498"/>
      <x:c r="F2360" s="498"/>
      <x:c r="G2360" s="498"/>
      <x:c r="H2360" s="498"/>
      <x:c r="I2360" s="498"/>
      <x:c r="J2360" s="498"/>
      <x:c r="K2360" s="498"/>
      <x:c r="L2360" s="498"/>
      <x:c r="M2360" s="498"/>
    </x:row>
    <x:row r="2361" ht="18" customHeight="1">
      <x:c r="A2361" s="498"/>
      <x:c r="B2361" s="498"/>
      <x:c r="C2361" s="498"/>
      <x:c r="D2361" s="498"/>
      <x:c r="E2361" s="498"/>
      <x:c r="F2361" s="498"/>
      <x:c r="G2361" s="498"/>
      <x:c r="H2361" s="498"/>
      <x:c r="I2361" s="498"/>
      <x:c r="J2361" s="498"/>
      <x:c r="K2361" s="498"/>
      <x:c r="L2361" s="498"/>
      <x:c r="M2361" s="498"/>
    </x:row>
    <x:row r="2362" ht="18" customHeight="1">
      <x:c r="A2362" s="498"/>
      <x:c r="B2362" s="498"/>
      <x:c r="C2362" s="498"/>
      <x:c r="D2362" s="498"/>
      <x:c r="E2362" s="498"/>
      <x:c r="F2362" s="498"/>
      <x:c r="G2362" s="498"/>
      <x:c r="H2362" s="498"/>
      <x:c r="I2362" s="498"/>
      <x:c r="J2362" s="498"/>
      <x:c r="K2362" s="498"/>
      <x:c r="L2362" s="498"/>
      <x:c r="M2362" s="498"/>
    </x:row>
    <x:row r="2363" ht="18" customHeight="1">
      <x:c r="A2363" s="498"/>
      <x:c r="B2363" s="498"/>
      <x:c r="C2363" s="498"/>
      <x:c r="D2363" s="498"/>
      <x:c r="E2363" s="498"/>
      <x:c r="F2363" s="498"/>
      <x:c r="G2363" s="498"/>
      <x:c r="H2363" s="498"/>
      <x:c r="I2363" s="498"/>
      <x:c r="J2363" s="498"/>
      <x:c r="K2363" s="498"/>
      <x:c r="L2363" s="498"/>
      <x:c r="M2363" s="498"/>
    </x:row>
    <x:row r="2364" ht="18" customHeight="1">
      <x:c r="A2364" s="498"/>
      <x:c r="B2364" s="498"/>
      <x:c r="C2364" s="498"/>
      <x:c r="D2364" s="498"/>
      <x:c r="E2364" s="498"/>
      <x:c r="F2364" s="498"/>
      <x:c r="G2364" s="498"/>
      <x:c r="H2364" s="498"/>
      <x:c r="I2364" s="498"/>
      <x:c r="J2364" s="498"/>
      <x:c r="K2364" s="498"/>
      <x:c r="L2364" s="498"/>
      <x:c r="M2364" s="498"/>
    </x:row>
    <x:row r="2365" ht="18" customHeight="1">
      <x:c r="A2365" s="498"/>
      <x:c r="B2365" s="498"/>
      <x:c r="C2365" s="498"/>
      <x:c r="D2365" s="498"/>
      <x:c r="E2365" s="498"/>
      <x:c r="F2365" s="498"/>
      <x:c r="G2365" s="498"/>
      <x:c r="H2365" s="498"/>
      <x:c r="I2365" s="498"/>
      <x:c r="J2365" s="498"/>
      <x:c r="K2365" s="498"/>
      <x:c r="L2365" s="498"/>
      <x:c r="M2365" s="498"/>
    </x:row>
    <x:row r="2366" ht="18" customHeight="1">
      <x:c r="A2366" s="498"/>
      <x:c r="B2366" s="498"/>
      <x:c r="C2366" s="498"/>
      <x:c r="D2366" s="498"/>
      <x:c r="E2366" s="498"/>
      <x:c r="F2366" s="498"/>
      <x:c r="G2366" s="498"/>
      <x:c r="H2366" s="498"/>
      <x:c r="I2366" s="498"/>
      <x:c r="J2366" s="498"/>
      <x:c r="K2366" s="498"/>
      <x:c r="L2366" s="498"/>
      <x:c r="M2366" s="498"/>
    </x:row>
    <x:row r="2367" ht="18" customHeight="1">
      <x:c r="A2367" s="498"/>
      <x:c r="B2367" s="498"/>
      <x:c r="C2367" s="498"/>
      <x:c r="D2367" s="498"/>
      <x:c r="E2367" s="498"/>
      <x:c r="F2367" s="498"/>
      <x:c r="G2367" s="498"/>
      <x:c r="H2367" s="498"/>
      <x:c r="I2367" s="498"/>
      <x:c r="J2367" s="498"/>
      <x:c r="K2367" s="498"/>
      <x:c r="L2367" s="498"/>
      <x:c r="M2367" s="498"/>
    </x:row>
    <x:row r="2368" ht="18" customHeight="1">
      <x:c r="A2368" s="498"/>
      <x:c r="B2368" s="498"/>
      <x:c r="C2368" s="498"/>
      <x:c r="D2368" s="498"/>
      <x:c r="E2368" s="498"/>
      <x:c r="F2368" s="498"/>
      <x:c r="G2368" s="498"/>
      <x:c r="H2368" s="498"/>
      <x:c r="I2368" s="498"/>
      <x:c r="J2368" s="498"/>
      <x:c r="K2368" s="498"/>
      <x:c r="L2368" s="498"/>
      <x:c r="M2368" s="498"/>
    </x:row>
    <x:row r="2369" ht="18" customHeight="1">
      <x:c r="A2369" s="498"/>
      <x:c r="B2369" s="498"/>
      <x:c r="C2369" s="498"/>
      <x:c r="D2369" s="498"/>
      <x:c r="E2369" s="498"/>
      <x:c r="F2369" s="498"/>
      <x:c r="G2369" s="498"/>
      <x:c r="H2369" s="498"/>
      <x:c r="I2369" s="498"/>
      <x:c r="J2369" s="498"/>
      <x:c r="K2369" s="498"/>
      <x:c r="L2369" s="498"/>
      <x:c r="M2369" s="498"/>
    </x:row>
    <x:row r="2370" ht="18" customHeight="1">
      <x:c r="A2370" s="498"/>
      <x:c r="B2370" s="498"/>
      <x:c r="C2370" s="498"/>
      <x:c r="D2370" s="498"/>
      <x:c r="E2370" s="498"/>
      <x:c r="F2370" s="498"/>
      <x:c r="G2370" s="498"/>
      <x:c r="H2370" s="498"/>
      <x:c r="I2370" s="498"/>
      <x:c r="J2370" s="498"/>
      <x:c r="K2370" s="498"/>
      <x:c r="L2370" s="498"/>
      <x:c r="M2370" s="498"/>
    </x:row>
    <x:row r="2371" ht="18" customHeight="1">
      <x:c r="A2371" s="498"/>
      <x:c r="B2371" s="498"/>
      <x:c r="C2371" s="498"/>
      <x:c r="D2371" s="498"/>
      <x:c r="E2371" s="498"/>
      <x:c r="F2371" s="498"/>
      <x:c r="G2371" s="498"/>
      <x:c r="H2371" s="498"/>
      <x:c r="I2371" s="498"/>
      <x:c r="J2371" s="498"/>
      <x:c r="K2371" s="498"/>
      <x:c r="L2371" s="498"/>
      <x:c r="M2371" s="498"/>
    </x:row>
    <x:row r="2372" ht="18" customHeight="1">
      <x:c r="A2372" s="498"/>
      <x:c r="B2372" s="498"/>
      <x:c r="C2372" s="498"/>
      <x:c r="D2372" s="498"/>
      <x:c r="E2372" s="498"/>
      <x:c r="F2372" s="498"/>
      <x:c r="G2372" s="498"/>
      <x:c r="H2372" s="498"/>
      <x:c r="I2372" s="498"/>
      <x:c r="J2372" s="498"/>
      <x:c r="K2372" s="498"/>
      <x:c r="L2372" s="498"/>
      <x:c r="M2372" s="498"/>
    </x:row>
    <x:row r="2373" ht="18" customHeight="1">
      <x:c r="A2373" s="498"/>
      <x:c r="B2373" s="498"/>
      <x:c r="C2373" s="498"/>
      <x:c r="D2373" s="498"/>
      <x:c r="E2373" s="498"/>
      <x:c r="F2373" s="498"/>
      <x:c r="G2373" s="498"/>
      <x:c r="H2373" s="498"/>
      <x:c r="I2373" s="498"/>
      <x:c r="J2373" s="498"/>
      <x:c r="K2373" s="498"/>
      <x:c r="L2373" s="498"/>
      <x:c r="M2373" s="498"/>
    </x:row>
    <x:row r="2374" ht="18" customHeight="1">
      <x:c r="A2374" s="498"/>
      <x:c r="B2374" s="498"/>
      <x:c r="C2374" s="498"/>
      <x:c r="D2374" s="498"/>
      <x:c r="E2374" s="498"/>
      <x:c r="F2374" s="498"/>
      <x:c r="G2374" s="498"/>
      <x:c r="H2374" s="498"/>
      <x:c r="I2374" s="498"/>
      <x:c r="J2374" s="498"/>
      <x:c r="K2374" s="498"/>
      <x:c r="L2374" s="498"/>
      <x:c r="M2374" s="498"/>
    </x:row>
    <x:row r="2375" ht="18" customHeight="1">
      <x:c r="A2375" s="498"/>
      <x:c r="B2375" s="498"/>
      <x:c r="C2375" s="498"/>
      <x:c r="D2375" s="498"/>
      <x:c r="E2375" s="498"/>
      <x:c r="F2375" s="498"/>
      <x:c r="G2375" s="498"/>
      <x:c r="H2375" s="498"/>
      <x:c r="I2375" s="498"/>
      <x:c r="J2375" s="498"/>
      <x:c r="K2375" s="498"/>
      <x:c r="L2375" s="498"/>
      <x:c r="M2375" s="498"/>
    </x:row>
    <x:row r="2376" ht="18" customHeight="1">
      <x:c r="A2376" s="498"/>
      <x:c r="B2376" s="498"/>
      <x:c r="C2376" s="498"/>
      <x:c r="D2376" s="498"/>
      <x:c r="E2376" s="498"/>
      <x:c r="F2376" s="498"/>
      <x:c r="G2376" s="498"/>
      <x:c r="H2376" s="498"/>
      <x:c r="I2376" s="498"/>
      <x:c r="J2376" s="498"/>
      <x:c r="K2376" s="498"/>
      <x:c r="L2376" s="498"/>
      <x:c r="M2376" s="498"/>
    </x:row>
    <x:row r="2377" ht="18" customHeight="1">
      <x:c r="A2377" s="498"/>
      <x:c r="B2377" s="498"/>
      <x:c r="C2377" s="498"/>
      <x:c r="D2377" s="498"/>
      <x:c r="E2377" s="498"/>
      <x:c r="F2377" s="498"/>
      <x:c r="G2377" s="498"/>
      <x:c r="H2377" s="498"/>
      <x:c r="I2377" s="498"/>
      <x:c r="J2377" s="498"/>
      <x:c r="K2377" s="498"/>
      <x:c r="L2377" s="498"/>
      <x:c r="M2377" s="498"/>
    </x:row>
    <x:row r="2378" ht="18" customHeight="1">
      <x:c r="A2378" s="498"/>
      <x:c r="B2378" s="498"/>
      <x:c r="C2378" s="498"/>
      <x:c r="D2378" s="498"/>
      <x:c r="E2378" s="498"/>
      <x:c r="F2378" s="498"/>
      <x:c r="G2378" s="498"/>
      <x:c r="H2378" s="498"/>
      <x:c r="I2378" s="498"/>
      <x:c r="J2378" s="498"/>
      <x:c r="K2378" s="498"/>
      <x:c r="L2378" s="498"/>
      <x:c r="M2378" s="498"/>
    </x:row>
    <x:row r="2379" ht="18" customHeight="1">
      <x:c r="A2379" s="498"/>
      <x:c r="B2379" s="498"/>
      <x:c r="C2379" s="498"/>
      <x:c r="D2379" s="498"/>
      <x:c r="E2379" s="498"/>
      <x:c r="F2379" s="498"/>
      <x:c r="G2379" s="498"/>
      <x:c r="H2379" s="498"/>
      <x:c r="I2379" s="498"/>
      <x:c r="J2379" s="498"/>
      <x:c r="K2379" s="498"/>
      <x:c r="L2379" s="498"/>
      <x:c r="M2379" s="498"/>
    </x:row>
    <x:row r="2380" ht="18" customHeight="1">
      <x:c r="A2380" s="498"/>
      <x:c r="B2380" s="498"/>
      <x:c r="C2380" s="498"/>
      <x:c r="D2380" s="498"/>
      <x:c r="E2380" s="498"/>
      <x:c r="F2380" s="498"/>
      <x:c r="G2380" s="498"/>
      <x:c r="H2380" s="498"/>
      <x:c r="I2380" s="498"/>
      <x:c r="J2380" s="498"/>
      <x:c r="K2380" s="498"/>
      <x:c r="L2380" s="498"/>
      <x:c r="M2380" s="498"/>
    </x:row>
    <x:row r="2381" ht="18" customHeight="1">
      <x:c r="A2381" s="498"/>
      <x:c r="B2381" s="498"/>
      <x:c r="C2381" s="498"/>
      <x:c r="D2381" s="498"/>
      <x:c r="E2381" s="498"/>
      <x:c r="F2381" s="498"/>
      <x:c r="G2381" s="498"/>
      <x:c r="H2381" s="498"/>
      <x:c r="I2381" s="498"/>
      <x:c r="J2381" s="498"/>
      <x:c r="K2381" s="498"/>
      <x:c r="L2381" s="498"/>
      <x:c r="M2381" s="498"/>
    </x:row>
    <x:row r="2382" ht="18" customHeight="1">
      <x:c r="A2382" s="498"/>
      <x:c r="B2382" s="498"/>
      <x:c r="C2382" s="498"/>
      <x:c r="D2382" s="498"/>
      <x:c r="E2382" s="498"/>
      <x:c r="F2382" s="498"/>
      <x:c r="G2382" s="498"/>
      <x:c r="H2382" s="498"/>
      <x:c r="I2382" s="498"/>
      <x:c r="J2382" s="498"/>
      <x:c r="K2382" s="498"/>
      <x:c r="L2382" s="498"/>
      <x:c r="M2382" s="498"/>
    </x:row>
    <x:row r="2383" ht="18" customHeight="1">
      <x:c r="A2383" s="498"/>
      <x:c r="B2383" s="498"/>
      <x:c r="C2383" s="498"/>
      <x:c r="D2383" s="498"/>
      <x:c r="E2383" s="498"/>
      <x:c r="F2383" s="498"/>
      <x:c r="G2383" s="498"/>
      <x:c r="H2383" s="498"/>
      <x:c r="I2383" s="498"/>
      <x:c r="J2383" s="498"/>
      <x:c r="K2383" s="498"/>
      <x:c r="L2383" s="498"/>
      <x:c r="M2383" s="498"/>
    </x:row>
    <x:row r="2384" ht="18" customHeight="1">
      <x:c r="A2384" s="498"/>
      <x:c r="B2384" s="498"/>
      <x:c r="C2384" s="498"/>
      <x:c r="D2384" s="498"/>
      <x:c r="E2384" s="498"/>
      <x:c r="F2384" s="498"/>
      <x:c r="G2384" s="498"/>
      <x:c r="H2384" s="498"/>
      <x:c r="I2384" s="498"/>
      <x:c r="J2384" s="498"/>
      <x:c r="K2384" s="498"/>
      <x:c r="L2384" s="498"/>
      <x:c r="M2384" s="498"/>
    </x:row>
    <x:row r="2385" ht="18" customHeight="1">
      <x:c r="A2385" s="498"/>
      <x:c r="B2385" s="498"/>
      <x:c r="C2385" s="498"/>
      <x:c r="D2385" s="498"/>
      <x:c r="E2385" s="498"/>
      <x:c r="F2385" s="498"/>
      <x:c r="G2385" s="498"/>
      <x:c r="H2385" s="498"/>
      <x:c r="I2385" s="498"/>
      <x:c r="J2385" s="498"/>
      <x:c r="K2385" s="498"/>
      <x:c r="L2385" s="498"/>
      <x:c r="M2385" s="498"/>
    </x:row>
    <x:row r="2386" ht="18" customHeight="1">
      <x:c r="A2386" s="498"/>
      <x:c r="B2386" s="498"/>
      <x:c r="C2386" s="498"/>
      <x:c r="D2386" s="498"/>
      <x:c r="E2386" s="498"/>
      <x:c r="F2386" s="498"/>
      <x:c r="G2386" s="498"/>
      <x:c r="H2386" s="498"/>
      <x:c r="I2386" s="498"/>
      <x:c r="J2386" s="498"/>
      <x:c r="K2386" s="498"/>
      <x:c r="L2386" s="498"/>
      <x:c r="M2386" s="498"/>
    </x:row>
    <x:row r="2387" ht="18" customHeight="1">
      <x:c r="A2387" s="498"/>
      <x:c r="B2387" s="498"/>
      <x:c r="C2387" s="498"/>
      <x:c r="D2387" s="498"/>
      <x:c r="E2387" s="498"/>
      <x:c r="F2387" s="498"/>
      <x:c r="G2387" s="498"/>
      <x:c r="H2387" s="498"/>
      <x:c r="I2387" s="498"/>
      <x:c r="J2387" s="498"/>
      <x:c r="K2387" s="498"/>
      <x:c r="L2387" s="498"/>
      <x:c r="M2387" s="498"/>
    </x:row>
    <x:row r="2388" ht="18" customHeight="1">
      <x:c r="A2388" s="498"/>
      <x:c r="B2388" s="498"/>
      <x:c r="C2388" s="498"/>
      <x:c r="D2388" s="498"/>
      <x:c r="E2388" s="498"/>
      <x:c r="F2388" s="498"/>
      <x:c r="G2388" s="498"/>
      <x:c r="H2388" s="498"/>
      <x:c r="I2388" s="498"/>
      <x:c r="J2388" s="498"/>
      <x:c r="K2388" s="498"/>
      <x:c r="L2388" s="498"/>
      <x:c r="M2388" s="498"/>
    </x:row>
    <x:row r="2389" ht="18" customHeight="1">
      <x:c r="A2389" s="498"/>
      <x:c r="B2389" s="498"/>
      <x:c r="C2389" s="498"/>
      <x:c r="D2389" s="498"/>
      <x:c r="E2389" s="498"/>
      <x:c r="F2389" s="498"/>
      <x:c r="G2389" s="498"/>
      <x:c r="H2389" s="498"/>
      <x:c r="I2389" s="498"/>
      <x:c r="J2389" s="498"/>
      <x:c r="K2389" s="498"/>
      <x:c r="L2389" s="498"/>
      <x:c r="M2389" s="498"/>
    </x:row>
    <x:row r="2390" ht="18" customHeight="1">
      <x:c r="A2390" s="498"/>
      <x:c r="B2390" s="498"/>
      <x:c r="C2390" s="498"/>
      <x:c r="D2390" s="498"/>
      <x:c r="E2390" s="498"/>
      <x:c r="F2390" s="498"/>
      <x:c r="G2390" s="498"/>
      <x:c r="H2390" s="498"/>
      <x:c r="I2390" s="498"/>
      <x:c r="J2390" s="498"/>
      <x:c r="K2390" s="498"/>
      <x:c r="L2390" s="498"/>
      <x:c r="M2390" s="498"/>
    </x:row>
    <x:row r="2391" ht="18" customHeight="1">
      <x:c r="A2391" s="498"/>
      <x:c r="B2391" s="498"/>
      <x:c r="C2391" s="498"/>
      <x:c r="D2391" s="498"/>
      <x:c r="E2391" s="498"/>
      <x:c r="F2391" s="498"/>
      <x:c r="G2391" s="498"/>
      <x:c r="H2391" s="498"/>
      <x:c r="I2391" s="498"/>
      <x:c r="J2391" s="498"/>
      <x:c r="K2391" s="498"/>
      <x:c r="L2391" s="498"/>
      <x:c r="M2391" s="498"/>
    </x:row>
    <x:row r="2392" ht="18" customHeight="1">
      <x:c r="A2392" s="498"/>
      <x:c r="B2392" s="498"/>
      <x:c r="C2392" s="498"/>
      <x:c r="D2392" s="498"/>
      <x:c r="E2392" s="498"/>
      <x:c r="F2392" s="498"/>
      <x:c r="G2392" s="498"/>
      <x:c r="H2392" s="498"/>
      <x:c r="I2392" s="498"/>
      <x:c r="J2392" s="498"/>
      <x:c r="K2392" s="498"/>
      <x:c r="L2392" s="498"/>
      <x:c r="M2392" s="498"/>
    </x:row>
    <x:row r="2393" ht="18" customHeight="1">
      <x:c r="A2393" s="498"/>
      <x:c r="B2393" s="498"/>
      <x:c r="C2393" s="498"/>
      <x:c r="D2393" s="498"/>
      <x:c r="E2393" s="498"/>
      <x:c r="F2393" s="498"/>
      <x:c r="G2393" s="498"/>
      <x:c r="H2393" s="498"/>
      <x:c r="I2393" s="498"/>
      <x:c r="J2393" s="498"/>
      <x:c r="K2393" s="498"/>
      <x:c r="L2393" s="498"/>
      <x:c r="M2393" s="498"/>
    </x:row>
    <x:row r="2394" ht="18" customHeight="1">
      <x:c r="A2394" s="498"/>
      <x:c r="B2394" s="498"/>
      <x:c r="C2394" s="498"/>
      <x:c r="D2394" s="498"/>
      <x:c r="E2394" s="498"/>
      <x:c r="F2394" s="498"/>
      <x:c r="G2394" s="498"/>
      <x:c r="H2394" s="498"/>
      <x:c r="I2394" s="498"/>
      <x:c r="J2394" s="498"/>
      <x:c r="K2394" s="498"/>
      <x:c r="L2394" s="498"/>
      <x:c r="M2394" s="498"/>
    </x:row>
    <x:row r="2395" ht="18" customHeight="1">
      <x:c r="A2395" s="498"/>
      <x:c r="B2395" s="498"/>
      <x:c r="C2395" s="498"/>
      <x:c r="D2395" s="498"/>
      <x:c r="E2395" s="498"/>
      <x:c r="F2395" s="498"/>
      <x:c r="G2395" s="498"/>
      <x:c r="H2395" s="498"/>
      <x:c r="I2395" s="498"/>
      <x:c r="J2395" s="498"/>
      <x:c r="K2395" s="498"/>
      <x:c r="L2395" s="498"/>
      <x:c r="M2395" s="498"/>
    </x:row>
    <x:row r="2396" ht="18" customHeight="1">
      <x:c r="A2396" s="498"/>
      <x:c r="B2396" s="498"/>
      <x:c r="C2396" s="498"/>
      <x:c r="D2396" s="498"/>
      <x:c r="E2396" s="498"/>
      <x:c r="F2396" s="498"/>
      <x:c r="G2396" s="498"/>
      <x:c r="H2396" s="498"/>
      <x:c r="I2396" s="498"/>
      <x:c r="J2396" s="498"/>
      <x:c r="K2396" s="498"/>
      <x:c r="L2396" s="498"/>
      <x:c r="M2396" s="498"/>
    </x:row>
    <x:row r="2397" ht="18" customHeight="1">
      <x:c r="A2397" s="498"/>
      <x:c r="B2397" s="498"/>
      <x:c r="C2397" s="498"/>
      <x:c r="D2397" s="498"/>
      <x:c r="E2397" s="498"/>
      <x:c r="F2397" s="498"/>
      <x:c r="G2397" s="498"/>
      <x:c r="H2397" s="498"/>
      <x:c r="I2397" s="498"/>
      <x:c r="J2397" s="498"/>
      <x:c r="K2397" s="498"/>
      <x:c r="L2397" s="498"/>
      <x:c r="M2397" s="498"/>
    </x:row>
    <x:row r="2398" ht="18" customHeight="1">
      <x:c r="A2398" s="498"/>
      <x:c r="B2398" s="498"/>
      <x:c r="C2398" s="498"/>
      <x:c r="D2398" s="498"/>
      <x:c r="E2398" s="498"/>
      <x:c r="F2398" s="498"/>
      <x:c r="G2398" s="498"/>
      <x:c r="H2398" s="498"/>
      <x:c r="I2398" s="498"/>
      <x:c r="J2398" s="498"/>
      <x:c r="K2398" s="498"/>
      <x:c r="L2398" s="498"/>
      <x:c r="M2398" s="498"/>
    </x:row>
    <x:row r="2399" ht="18" customHeight="1">
      <x:c r="A2399" s="498"/>
      <x:c r="B2399" s="498"/>
      <x:c r="C2399" s="498"/>
      <x:c r="D2399" s="498"/>
      <x:c r="E2399" s="498"/>
      <x:c r="F2399" s="498"/>
      <x:c r="G2399" s="498"/>
      <x:c r="H2399" s="498"/>
      <x:c r="I2399" s="498"/>
      <x:c r="J2399" s="498"/>
      <x:c r="K2399" s="498"/>
      <x:c r="L2399" s="498"/>
      <x:c r="M2399" s="498"/>
    </x:row>
    <x:row r="2400" ht="18" customHeight="1">
      <x:c r="A2400" s="498"/>
      <x:c r="B2400" s="498"/>
      <x:c r="C2400" s="498"/>
      <x:c r="D2400" s="498"/>
      <x:c r="E2400" s="498"/>
      <x:c r="F2400" s="498"/>
      <x:c r="G2400" s="498"/>
      <x:c r="H2400" s="498"/>
      <x:c r="I2400" s="498"/>
      <x:c r="J2400" s="498"/>
      <x:c r="K2400" s="498"/>
      <x:c r="L2400" s="498"/>
      <x:c r="M2400" s="498"/>
    </x:row>
  </x:sheetData>
  <x:mergeCells>
    <x:mergeCell ref="B2:M3"/>
    <x:mergeCell ref="B5:M7"/>
    <x:mergeCell ref="B10:M11"/>
    <x:mergeCell ref="B13:M13"/>
    <x:mergeCell ref="B14:M14"/>
    <x:mergeCell ref="B15:M15"/>
    <x:mergeCell ref="B16:M16"/>
    <x:mergeCell ref="B18:M18"/>
    <x:mergeCell ref="B19:M19"/>
    <x:mergeCell ref="B20:M20"/>
    <x:mergeCell ref="B21:M21"/>
    <x:mergeCell ref="B23:M23"/>
    <x:mergeCell ref="B24:M24"/>
    <x:mergeCell ref="B26:M26"/>
    <x:mergeCell ref="B27:M27"/>
    <x:mergeCell ref="B28:M28"/>
    <x:mergeCell ref="B30:M30"/>
    <x:mergeCell ref="B31:M31"/>
    <x:mergeCell ref="B33:M33"/>
    <x:mergeCell ref="B34:M34"/>
    <x:mergeCell ref="B35:M35"/>
    <x:mergeCell ref="B36:M36"/>
    <x:mergeCell ref="B37:M37"/>
    <x:mergeCell ref="B38:M38"/>
    <x:mergeCell ref="B39:M39"/>
    <x:mergeCell ref="B40:M40"/>
    <x:mergeCell ref="B41:M41"/>
    <x:mergeCell ref="B42:M42"/>
    <x:mergeCell ref="B44:M44"/>
    <x:mergeCell ref="B45:M45"/>
    <x:mergeCell ref="B47:M47"/>
    <x:mergeCell ref="B48:M48"/>
    <x:mergeCell ref="B49:M49"/>
    <x:mergeCell ref="B50:M50"/>
    <x:mergeCell ref="B51:M51"/>
    <x:mergeCell ref="B52:M52"/>
    <x:mergeCell ref="B53:M53"/>
    <x:mergeCell ref="B54:M54"/>
    <x:mergeCell ref="B55:M55"/>
    <x:mergeCell ref="B56:M56"/>
    <x:mergeCell ref="B57:M57"/>
    <x:mergeCell ref="B58:M58"/>
    <x:mergeCell ref="B59:M59"/>
    <x:mergeCell ref="B60:M60"/>
    <x:mergeCell ref="B62:M62"/>
    <x:mergeCell ref="B63:M63"/>
    <x:mergeCell ref="B65:M65"/>
    <x:mergeCell ref="B66:M66"/>
    <x:mergeCell ref="B68:M68"/>
    <x:mergeCell ref="B69:M69"/>
    <x:mergeCell ref="B71:M71"/>
    <x:mergeCell ref="B72:M72"/>
    <x:mergeCell ref="B74:M74"/>
    <x:mergeCell ref="B75:M75"/>
    <x:mergeCell ref="B77:M77"/>
    <x:mergeCell ref="B78:M78"/>
    <x:mergeCell ref="B80:M80"/>
    <x:mergeCell ref="B81:M81"/>
    <x:mergeCell ref="B83:M83"/>
    <x:mergeCell ref="B84:M84"/>
    <x:mergeCell ref="B86:M86"/>
    <x:mergeCell ref="B87:M87"/>
    <x:mergeCell ref="B89:M89"/>
    <x:mergeCell ref="B90:M90"/>
    <x:mergeCell ref="B92:M92"/>
    <x:mergeCell ref="B93:M93"/>
    <x:mergeCell ref="B95:M95"/>
    <x:mergeCell ref="B96:M96"/>
    <x:mergeCell ref="B98:M98"/>
    <x:mergeCell ref="B99:M99"/>
    <x:mergeCell ref="B101:M101"/>
    <x:mergeCell ref="B102:M102"/>
    <x:mergeCell ref="B104:M104"/>
    <x:mergeCell ref="B105:M105"/>
    <x:mergeCell ref="B107:M107"/>
    <x:mergeCell ref="B108:M108"/>
    <x:mergeCell ref="B110:M110"/>
    <x:mergeCell ref="B111:M111"/>
    <x:mergeCell ref="B113:M113"/>
    <x:mergeCell ref="B114:M114"/>
    <x:mergeCell ref="B116:M116"/>
    <x:mergeCell ref="B117:M117"/>
    <x:mergeCell ref="B119:M119"/>
    <x:mergeCell ref="B120:M120"/>
    <x:mergeCell ref="B122:M122"/>
    <x:mergeCell ref="B123:M123"/>
    <x:mergeCell ref="B125:M125"/>
    <x:mergeCell ref="B126:M126"/>
    <x:mergeCell ref="B128:M128"/>
    <x:mergeCell ref="B129:M129"/>
    <x:mergeCell ref="B130:M130"/>
    <x:mergeCell ref="B132:M132"/>
    <x:mergeCell ref="B133:M133"/>
    <x:mergeCell ref="B134:M134"/>
    <x:mergeCell ref="B136:M136"/>
    <x:mergeCell ref="B137:M137"/>
    <x:mergeCell ref="B138:M138"/>
    <x:mergeCell ref="B140:M140"/>
    <x:mergeCell ref="B141:M141"/>
    <x:mergeCell ref="B142:M142"/>
    <x:mergeCell ref="B144:M144"/>
    <x:mergeCell ref="B145:M145"/>
    <x:mergeCell ref="B146:M146"/>
    <x:mergeCell ref="B147:M147"/>
    <x:mergeCell ref="B148:M148"/>
    <x:mergeCell ref="B149:M149"/>
    <x:mergeCell ref="B151:M151"/>
    <x:mergeCell ref="B152:M152"/>
    <x:mergeCell ref="B153:M153"/>
    <x:mergeCell ref="B155:M155"/>
    <x:mergeCell ref="B156:M156"/>
    <x:mergeCell ref="B157:M157"/>
    <x:mergeCell ref="B159:M159"/>
    <x:mergeCell ref="B160:M160"/>
    <x:mergeCell ref="B161:M161"/>
    <x:mergeCell ref="B163:M163"/>
    <x:mergeCell ref="B164:M164"/>
    <x:mergeCell ref="B165:M165"/>
    <x:mergeCell ref="B167:M167"/>
    <x:mergeCell ref="B168:M168"/>
    <x:mergeCell ref="B169:M169"/>
    <x:mergeCell ref="B171:M171"/>
    <x:mergeCell ref="B172:M172"/>
    <x:mergeCell ref="B173:M173"/>
    <x:mergeCell ref="B175:M175"/>
    <x:mergeCell ref="B176:M176"/>
    <x:mergeCell ref="B177:M177"/>
    <x:mergeCell ref="B178:M178"/>
    <x:mergeCell ref="B179:M179"/>
    <x:mergeCell ref="B180:M180"/>
    <x:mergeCell ref="B181:M181"/>
    <x:mergeCell ref="B182:M182"/>
    <x:mergeCell ref="B183:M183"/>
    <x:mergeCell ref="B185:M185"/>
    <x:mergeCell ref="B186:M186"/>
    <x:mergeCell ref="B187:M187"/>
    <x:mergeCell ref="B189:M189"/>
    <x:mergeCell ref="B190:M190"/>
    <x:mergeCell ref="B191:M191"/>
    <x:mergeCell ref="B193:M193"/>
    <x:mergeCell ref="B194:M194"/>
    <x:mergeCell ref="B195:M195"/>
    <x:mergeCell ref="B197:M197"/>
    <x:mergeCell ref="B198:M198"/>
    <x:mergeCell ref="B199:M199"/>
    <x:mergeCell ref="B201:M201"/>
    <x:mergeCell ref="B202:M202"/>
    <x:mergeCell ref="B203:M203"/>
    <x:mergeCell ref="B205:M205"/>
    <x:mergeCell ref="B206:M206"/>
    <x:mergeCell ref="B207:M207"/>
    <x:mergeCell ref="B209:M209"/>
    <x:mergeCell ref="B210:M210"/>
    <x:mergeCell ref="B211:M211"/>
    <x:mergeCell ref="B213:M213"/>
    <x:mergeCell ref="B214:M214"/>
    <x:mergeCell ref="B215:M215"/>
    <x:mergeCell ref="B217:M217"/>
    <x:mergeCell ref="B218:M218"/>
    <x:mergeCell ref="B219:M219"/>
    <x:mergeCell ref="B221:M221"/>
    <x:mergeCell ref="B222:M222"/>
    <x:mergeCell ref="B223:M223"/>
    <x:mergeCell ref="B225:M225"/>
    <x:mergeCell ref="B226:M226"/>
    <x:mergeCell ref="B227:M227"/>
    <x:mergeCell ref="B229:M229"/>
    <x:mergeCell ref="B230:M230"/>
    <x:mergeCell ref="B231:M231"/>
    <x:mergeCell ref="B233:M233"/>
    <x:mergeCell ref="B234:M234"/>
    <x:mergeCell ref="B235:M235"/>
    <x:mergeCell ref="B237:M237"/>
    <x:mergeCell ref="B238:M238"/>
    <x:mergeCell ref="B239:M239"/>
    <x:mergeCell ref="B241:M241"/>
    <x:mergeCell ref="B242:M242"/>
    <x:mergeCell ref="B243:M243"/>
    <x:mergeCell ref="B244:M244"/>
    <x:mergeCell ref="B245:M245"/>
    <x:mergeCell ref="B246:M246"/>
    <x:mergeCell ref="B247:M247"/>
    <x:mergeCell ref="B248:M248"/>
    <x:mergeCell ref="B249:M249"/>
    <x:mergeCell ref="B251:M251"/>
    <x:mergeCell ref="B252:M252"/>
    <x:mergeCell ref="B253:M253"/>
    <x:mergeCell ref="B254:M254"/>
    <x:mergeCell ref="B255:M255"/>
    <x:mergeCell ref="B257:M257"/>
    <x:mergeCell ref="B258:M258"/>
    <x:mergeCell ref="B259:M259"/>
    <x:mergeCell ref="B261:M261"/>
    <x:mergeCell ref="B262:M262"/>
    <x:mergeCell ref="B263:M263"/>
    <x:mergeCell ref="B264:M264"/>
    <x:mergeCell ref="B265:M265"/>
    <x:mergeCell ref="B266:M266"/>
    <x:mergeCell ref="B268:M268"/>
    <x:mergeCell ref="B269:M269"/>
    <x:mergeCell ref="B270:M270"/>
    <x:mergeCell ref="B272:M272"/>
    <x:mergeCell ref="B273:M273"/>
    <x:mergeCell ref="B274:M274"/>
    <x:mergeCell ref="B276:M276"/>
    <x:mergeCell ref="B277:M277"/>
    <x:mergeCell ref="B278:M278"/>
    <x:mergeCell ref="B280:M280"/>
    <x:mergeCell ref="B281:M281"/>
    <x:mergeCell ref="B282:M282"/>
    <x:mergeCell ref="B283:M283"/>
    <x:mergeCell ref="B285:M285"/>
    <x:mergeCell ref="B286:M286"/>
    <x:mergeCell ref="B287:M287"/>
    <x:mergeCell ref="B288:M288"/>
    <x:mergeCell ref="B290:M290"/>
    <x:mergeCell ref="B291:M291"/>
    <x:mergeCell ref="B292:M292"/>
    <x:mergeCell ref="B293:M293"/>
    <x:mergeCell ref="B294:M294"/>
    <x:mergeCell ref="B295:M295"/>
    <x:mergeCell ref="B296:M296"/>
    <x:mergeCell ref="B298:M298"/>
    <x:mergeCell ref="B299:M299"/>
    <x:mergeCell ref="B300:M300"/>
    <x:mergeCell ref="B302:M302"/>
    <x:mergeCell ref="B303:M303"/>
    <x:mergeCell ref="B304:M304"/>
    <x:mergeCell ref="B305:M305"/>
    <x:mergeCell ref="B306:M306"/>
    <x:mergeCell ref="B308:M308"/>
    <x:mergeCell ref="B309:M309"/>
    <x:mergeCell ref="B310:M310"/>
    <x:mergeCell ref="B312:M312"/>
    <x:mergeCell ref="B313:M313"/>
    <x:mergeCell ref="B314:M314"/>
    <x:mergeCell ref="B315:M315"/>
    <x:mergeCell ref="B316:M316"/>
    <x:mergeCell ref="B317:M317"/>
    <x:mergeCell ref="B320:M321"/>
    <x:mergeCell ref="B323:M323"/>
    <x:mergeCell ref="B324:M324"/>
    <x:mergeCell ref="B326:M326"/>
    <x:mergeCell ref="B327:M327"/>
    <x:mergeCell ref="B328:M328"/>
    <x:mergeCell ref="B329:M329"/>
    <x:mergeCell ref="B330:M330"/>
    <x:mergeCell ref="B331:M331"/>
    <x:mergeCell ref="B332:M332"/>
    <x:mergeCell ref="B333:M333"/>
    <x:mergeCell ref="B334:M334"/>
    <x:mergeCell ref="B335:M335"/>
    <x:mergeCell ref="B337:M337"/>
    <x:mergeCell ref="B338:M338"/>
    <x:mergeCell ref="B340:M340"/>
    <x:mergeCell ref="B341:M341"/>
    <x:mergeCell ref="B342:M342"/>
    <x:mergeCell ref="B343:M343"/>
    <x:mergeCell ref="B344:M344"/>
    <x:mergeCell ref="B345:M345"/>
    <x:mergeCell ref="B346:M346"/>
    <x:mergeCell ref="B347:M347"/>
    <x:mergeCell ref="B348:M348"/>
    <x:mergeCell ref="B349:M349"/>
    <x:mergeCell ref="B350:M350"/>
    <x:mergeCell ref="B351:M351"/>
    <x:mergeCell ref="B352:M352"/>
    <x:mergeCell ref="B353:M353"/>
    <x:mergeCell ref="B356:M357"/>
    <x:mergeCell ref="B359:M359"/>
    <x:mergeCell ref="B360:M360"/>
    <x:mergeCell ref="B361:M361"/>
    <x:mergeCell ref="B362:M362"/>
    <x:mergeCell ref="B363:M363"/>
    <x:mergeCell ref="B366:M367"/>
    <x:mergeCell ref="B369:M369"/>
    <x:mergeCell ref="B370:M370"/>
    <x:mergeCell ref="B372:M372"/>
    <x:mergeCell ref="B373:M373"/>
    <x:mergeCell ref="B375:M375"/>
    <x:mergeCell ref="B376:M376"/>
    <x:mergeCell ref="B378:M378"/>
    <x:mergeCell ref="B379:M379"/>
    <x:mergeCell ref="B381:M381"/>
    <x:mergeCell ref="B382:M382"/>
    <x:mergeCell ref="B383:M383"/>
    <x:mergeCell ref="B385:M385"/>
    <x:mergeCell ref="B386:M386"/>
    <x:mergeCell ref="B388:M388"/>
    <x:mergeCell ref="B389:M389"/>
    <x:mergeCell ref="B391:M391"/>
    <x:mergeCell ref="B392:M392"/>
    <x:mergeCell ref="B394:M394"/>
    <x:mergeCell ref="B395:M395"/>
    <x:mergeCell ref="B397:M397"/>
    <x:mergeCell ref="B398:M398"/>
    <x:mergeCell ref="B400:M400"/>
    <x:mergeCell ref="B401:M401"/>
    <x:mergeCell ref="B403:M403"/>
    <x:mergeCell ref="B404:M404"/>
    <x:mergeCell ref="B406:M406"/>
    <x:mergeCell ref="B407:M407"/>
    <x:mergeCell ref="B409:M409"/>
    <x:mergeCell ref="B410:M410"/>
    <x:mergeCell ref="B412:M412"/>
    <x:mergeCell ref="B413:M413"/>
    <x:mergeCell ref="B415:M415"/>
    <x:mergeCell ref="B416:M416"/>
    <x:mergeCell ref="B418:M418"/>
    <x:mergeCell ref="B419:M419"/>
    <x:mergeCell ref="B421:M421"/>
    <x:mergeCell ref="B422:M422"/>
    <x:mergeCell ref="B424:M424"/>
    <x:mergeCell ref="B425:M425"/>
    <x:mergeCell ref="B427:M427"/>
    <x:mergeCell ref="B428:M428"/>
    <x:mergeCell ref="B430:M430"/>
    <x:mergeCell ref="B431:M431"/>
    <x:mergeCell ref="B433:M433"/>
    <x:mergeCell ref="B434:M434"/>
    <x:mergeCell ref="B435:M435"/>
    <x:mergeCell ref="B438:M439"/>
    <x:mergeCell ref="B441:M441"/>
    <x:mergeCell ref="B442:M442"/>
    <x:mergeCell ref="B443:M443"/>
    <x:mergeCell ref="B444:M444"/>
    <x:mergeCell ref="B446:M446"/>
    <x:mergeCell ref="B447:M447"/>
    <x:mergeCell ref="B449:M449"/>
    <x:mergeCell ref="B450:M450"/>
    <x:mergeCell ref="B452:M452"/>
    <x:mergeCell ref="B453:M453"/>
    <x:mergeCell ref="B455:M455"/>
    <x:mergeCell ref="B456:M456"/>
    <x:mergeCell ref="B459:M460"/>
    <x:mergeCell ref="B462:M462"/>
    <x:mergeCell ref="B463:M463"/>
    <x:mergeCell ref="B464:M464"/>
    <x:mergeCell ref="B467:M468"/>
    <x:mergeCell ref="B470:M470"/>
    <x:mergeCell ref="B471:M471"/>
    <x:mergeCell ref="B473:M473"/>
    <x:mergeCell ref="B474:M474"/>
    <x:mergeCell ref="B475:M475"/>
    <x:mergeCell ref="B478:M479"/>
    <x:mergeCell ref="B481:M481"/>
    <x:mergeCell ref="B482:M482"/>
    <x:mergeCell ref="B483:M483"/>
    <x:mergeCell ref="B484:M484"/>
    <x:mergeCell ref="B485:M485"/>
    <x:mergeCell ref="B486:M486"/>
    <x:mergeCell ref="B487:M487"/>
    <x:mergeCell ref="B488:M488"/>
    <x:mergeCell ref="B489:M489"/>
    <x:mergeCell ref="B490:M490"/>
    <x:mergeCell ref="B491:M491"/>
    <x:mergeCell ref="B494:M495"/>
    <x:mergeCell ref="B497:M497"/>
    <x:mergeCell ref="B498:M498"/>
    <x:mergeCell ref="B499:M499"/>
    <x:mergeCell ref="B500:M500"/>
    <x:mergeCell ref="B501:M501"/>
    <x:mergeCell ref="B502:M502"/>
    <x:mergeCell ref="B503:M503"/>
    <x:mergeCell ref="B504:M504"/>
    <x:mergeCell ref="B505:M505"/>
    <x:mergeCell ref="B506:M506"/>
    <x:mergeCell ref="B507:M507"/>
    <x:mergeCell ref="B508:M508"/>
    <x:mergeCell ref="B509:M509"/>
    <x:mergeCell ref="B510:M510"/>
    <x:mergeCell ref="B511:M511"/>
    <x:mergeCell ref="B512:M512"/>
    <x:mergeCell ref="B513:M513"/>
    <x:mergeCell ref="B514:M514"/>
    <x:mergeCell ref="B515:M515"/>
    <x:mergeCell ref="B516:M516"/>
    <x:mergeCell ref="B517:M517"/>
    <x:mergeCell ref="B518:M518"/>
    <x:mergeCell ref="B519:M519"/>
    <x:mergeCell ref="B520:M520"/>
    <x:mergeCell ref="B523:M524"/>
    <x:mergeCell ref="B526:M526"/>
    <x:mergeCell ref="B527:M527"/>
    <x:mergeCell ref="B528:M528"/>
    <x:mergeCell ref="B529:M529"/>
    <x:mergeCell ref="B530:M530"/>
    <x:mergeCell ref="B531:M531"/>
    <x:mergeCell ref="B533:M533"/>
    <x:mergeCell ref="B534:M534"/>
    <x:mergeCell ref="B535:M535"/>
    <x:mergeCell ref="B537:M537"/>
    <x:mergeCell ref="B538:M538"/>
    <x:mergeCell ref="B539:M539"/>
    <x:mergeCell ref="B541:M541"/>
    <x:mergeCell ref="B542:M542"/>
    <x:mergeCell ref="B543:M543"/>
    <x:mergeCell ref="B545:M545"/>
    <x:mergeCell ref="B546:M546"/>
    <x:mergeCell ref="B547:M547"/>
    <x:mergeCell ref="B548:M548"/>
    <x:mergeCell ref="B550:M550"/>
    <x:mergeCell ref="B551:M551"/>
    <x:mergeCell ref="B552:M552"/>
    <x:mergeCell ref="B554:M554"/>
    <x:mergeCell ref="B555:M555"/>
    <x:mergeCell ref="B558:M559"/>
    <x:mergeCell ref="B561:M561"/>
    <x:mergeCell ref="B562:M562"/>
    <x:mergeCell ref="B564:M564"/>
    <x:mergeCell ref="B565:M565"/>
    <x:mergeCell ref="B566:M566"/>
    <x:mergeCell ref="B567:M567"/>
    <x:mergeCell ref="B568:M568"/>
    <x:mergeCell ref="B569:M569"/>
    <x:mergeCell ref="B570:M570"/>
    <x:mergeCell ref="B571:M571"/>
    <x:mergeCell ref="B572:M572"/>
    <x:mergeCell ref="B574:M574"/>
    <x:mergeCell ref="B575:M575"/>
    <x:mergeCell ref="B576:M576"/>
    <x:mergeCell ref="B577:M577"/>
    <x:mergeCell ref="B578:M578"/>
    <x:mergeCell ref="B579:M579"/>
    <x:mergeCell ref="B580:M580"/>
    <x:mergeCell ref="B581:M581"/>
    <x:mergeCell ref="B582:M582"/>
    <x:mergeCell ref="B583:M583"/>
    <x:mergeCell ref="B584:M584"/>
    <x:mergeCell ref="B585:M585"/>
    <x:mergeCell ref="B586:M586"/>
    <x:mergeCell ref="B587:M587"/>
    <x:mergeCell ref="B588:M588"/>
    <x:mergeCell ref="B589:M589"/>
    <x:mergeCell ref="B590:M590"/>
    <x:mergeCell ref="B592:M592"/>
    <x:mergeCell ref="B593:M593"/>
    <x:mergeCell ref="B595:M595"/>
    <x:mergeCell ref="B596:M596"/>
    <x:mergeCell ref="B598:M598"/>
    <x:mergeCell ref="B599:M599"/>
    <x:mergeCell ref="B601:M601"/>
    <x:mergeCell ref="B602:M602"/>
    <x:mergeCell ref="B604:M604"/>
    <x:mergeCell ref="B605:M605"/>
    <x:mergeCell ref="B607:M607"/>
    <x:mergeCell ref="B608:M608"/>
    <x:mergeCell ref="B609:M609"/>
    <x:mergeCell ref="B610:M610"/>
    <x:mergeCell ref="B611:M611"/>
    <x:mergeCell ref="B612:M612"/>
    <x:mergeCell ref="B613:M613"/>
    <x:mergeCell ref="B614:M614"/>
  </x:mergeCells>
  <x:hyperlinks>
    <x:hyperlink ref="B13" location="'Modèle principal'!AJ62"/>
    <x:hyperlink ref="B18" location="'Modèle principal'!EJ61"/>
    <x:hyperlink ref="B23" location="'Modèle principal'!C1"/>
    <x:hyperlink ref="B26" location="'Modèle principal'!C26"/>
    <x:hyperlink ref="B30" location="'Modèle principal'!P30"/>
    <x:hyperlink ref="B33" location="'Modèle principal'!AE3"/>
    <x:hyperlink ref="B44" location="'Modèle principal'!J4"/>
    <x:hyperlink ref="B47" location="'Modèle principal'!O36"/>
    <x:hyperlink ref="B62" location="'Modèle principal'!BP3"/>
    <x:hyperlink ref="B65" location="'Modèle principal'!BH4"/>
    <x:hyperlink ref="B68" location="'Modèle principal'!BI14"/>
    <x:hyperlink ref="B71" location="'Modèle principal'!BI26"/>
    <x:hyperlink ref="B74" location="'Modèle principal'!BR36"/>
    <x:hyperlink ref="B77" location="'Modèle principal'!AH37"/>
    <x:hyperlink ref="B80" location="'Modèle principal'!AH38"/>
    <x:hyperlink ref="B83" location="'Modèle principal'!AJ39"/>
    <x:hyperlink ref="B86" location="'Modèle principal'!BX39"/>
    <x:hyperlink ref="B89" location="'Modèle principal'!BB41"/>
    <x:hyperlink ref="B92" location="'Modèle principal'!AJ45"/>
    <x:hyperlink ref="B95" location="'Modèle principal'!AJ46"/>
    <x:hyperlink ref="B98" location="'Modèle principal'!AJ47"/>
    <x:hyperlink ref="B101" location="'Modèle principal'!AJ48"/>
    <x:hyperlink ref="B104" location="'Modèle principal'!AJ49"/>
    <x:hyperlink ref="B107" location="'Modèle principal'!AJ50"/>
    <x:hyperlink ref="B110" location="'Modèle principal'!BQ50"/>
    <x:hyperlink ref="B113" location="'Modèle principal'!AH57"/>
    <x:hyperlink ref="B116" location="'Modèle principal'!AH58"/>
    <x:hyperlink ref="B119" location="'Modèle principal'!AH59"/>
    <x:hyperlink ref="B122" location="'Modèle principal'!BX75"/>
    <x:hyperlink ref="B125" location="'Modèle principal'!BX82"/>
    <x:hyperlink ref="B128" location="'Modèle principal'!BF3"/>
    <x:hyperlink ref="B132" location="'Modèle principal'!BR3"/>
    <x:hyperlink ref="B136" location="'Modèle principal'!BT3"/>
    <x:hyperlink ref="B140" location="'Modèle principal'!BW3"/>
    <x:hyperlink ref="B144" location="'Modèle principal'!BY3"/>
    <x:hyperlink ref="B151" location="'Modèle principal'!BZ3"/>
    <x:hyperlink ref="B155" location="'Modèle principal'!CD3"/>
    <x:hyperlink ref="B159" location="'Modèle principal'!CF3"/>
    <x:hyperlink ref="B163" location="'Modèle principal'!CK3"/>
    <x:hyperlink ref="B167" location="'Modèle principal'!CL3"/>
    <x:hyperlink ref="B171" location="'Modèle principal'!CM3"/>
    <x:hyperlink ref="B175" location="'Modèle principal'!CN3"/>
    <x:hyperlink ref="B185" location="'Modèle principal'!DB3"/>
    <x:hyperlink ref="B189" location="'Modèle principal'!DC3"/>
    <x:hyperlink ref="B193" location="'Modèle principal'!DD3"/>
    <x:hyperlink ref="B197" location="'Modèle principal'!DG3"/>
    <x:hyperlink ref="B201" location="'Modèle principal'!DH3"/>
    <x:hyperlink ref="B205" location="'Modèle principal'!DI3"/>
    <x:hyperlink ref="B209" location="'Modèle principal'!DL3"/>
    <x:hyperlink ref="B213" location="'Modèle principal'!DM3"/>
    <x:hyperlink ref="B217" location="'Modèle principal'!DN3"/>
    <x:hyperlink ref="B221" location="'Modèle principal'!DR3"/>
    <x:hyperlink ref="B225" location="'Modèle principal'!DY3"/>
    <x:hyperlink ref="B229" location="'Modèle principal'!EC3"/>
    <x:hyperlink ref="B233" location="'Modèle principal'!EG3"/>
    <x:hyperlink ref="B237" location="'Modèle principal'!EH3"/>
    <x:hyperlink ref="B241" location="'Modèle principal'!EK3"/>
    <x:hyperlink ref="B251" location="'Modèle principal'!EL3"/>
    <x:hyperlink ref="B257" location="'Modèle principal'!BC4"/>
    <x:hyperlink ref="B261" location="'Modèle principal'!BI22"/>
    <x:hyperlink ref="B268" location="'Modèle principal'!BU37"/>
    <x:hyperlink ref="B272" location="'Modèle principal'!BE39"/>
    <x:hyperlink ref="B276" location="'Modèle principal'!AY41"/>
    <x:hyperlink ref="B280" location="'Modèle principal'!AX42"/>
    <x:hyperlink ref="B285" location="'Modèle principal'!BE45"/>
    <x:hyperlink ref="B290" location="'Modèle principal'!BB46"/>
    <x:hyperlink ref="B298" location="'Modèle principal'!BZ46"/>
    <x:hyperlink ref="B302" location="'Modèle principal'!BF47"/>
    <x:hyperlink ref="B308" location="'Modèle principal'!BF48"/>
    <x:hyperlink ref="B312" location="'Modèle principal'!BC49"/>
    <x:hyperlink ref="B323" location="'Paramètres libres'!B1"/>
    <x:hyperlink ref="B326" location="'Paramètres libres'!AD3"/>
    <x:hyperlink ref="B337" location="'Paramètres libres'!H4"/>
    <x:hyperlink ref="B340" location="'Paramètres libres'!N36"/>
    <x:hyperlink ref="B359" location="'Densité ajustée'!H4"/>
    <x:hyperlink ref="B369" location="'Profils de colonie'!B167"/>
    <x:hyperlink ref="B372" location="'Profils de colonie'!B139"/>
    <x:hyperlink ref="B375" location="'Profils de colonie'!D6"/>
    <x:hyperlink ref="B378" location="'Profils de colonie'!D9"/>
    <x:hyperlink ref="B381" location="'Profils de colonie'!D12"/>
    <x:hyperlink ref="B385" location="'Profils de colonie'!C13"/>
    <x:hyperlink ref="B388" location="'Profils de colonie'!C14"/>
    <x:hyperlink ref="B391" location="'Profils de colonie'!C15"/>
    <x:hyperlink ref="B394" location="'Profils de colonie'!C16"/>
    <x:hyperlink ref="B397" location="'Profils de colonie'!C19"/>
    <x:hyperlink ref="B400" location="'Profils de colonie'!L20"/>
    <x:hyperlink ref="B403" location="'Profils de colonie'!B21"/>
    <x:hyperlink ref="B406" location="'Profils de colonie'!C21"/>
    <x:hyperlink ref="B409" location="'Profils de colonie'!C22"/>
    <x:hyperlink ref="B412" location="'Profils de colonie'!C23"/>
    <x:hyperlink ref="B415" location="'Profils de colonie'!C24"/>
    <x:hyperlink ref="B418" location="'Profils de colonie'!C25"/>
    <x:hyperlink ref="B421" location="'Profils de colonie'!B28"/>
    <x:hyperlink ref="B424" location="'Profils de colonie'!I30"/>
    <x:hyperlink ref="B427" location="'Profils de colonie'!B170"/>
    <x:hyperlink ref="B430" location="'Profils de colonie'!B198"/>
    <x:hyperlink ref="B433" location="'Profils de colonie'!O25"/>
    <x:hyperlink ref="B441" location="'Réduction annuelle nécessaire'!A1"/>
    <x:hyperlink ref="B446" location="'Réduction annuelle nécessaire'!K35"/>
    <x:hyperlink ref="B449" location="'Réduction annuelle nécessaire'!Y27"/>
    <x:hyperlink ref="B452" location="'Réduction annuelle nécessaire'!A11"/>
    <x:hyperlink ref="B455" location="'Réduction annuelle nécessaire'!F44"/>
    <x:hyperlink ref="B462" location="'Immigration de varroas'!D1"/>
    <x:hyperlink ref="B470" location="'Croissance comparée'!L70"/>
    <x:hyperlink ref="B473" location="'Croissance comparée'!Q23"/>
    <x:hyperlink ref="B481" location="'À propos du modèle'!A3"/>
    <x:hyperlink ref="B497" location="'Notes de version'!B1"/>
    <x:hyperlink ref="B526" location="'Données à étudier'!B19"/>
    <x:hyperlink ref="B533" location="'Données à étudier'!J33"/>
    <x:hyperlink ref="B537" location="'Données à étudier'!B38"/>
    <x:hyperlink ref="B541" location="'Données à étudier'!B76"/>
    <x:hyperlink ref="B545" location="'Données à étudier'!U50"/>
    <x:hyperlink ref="B550" location="'Données à étudier'!B81"/>
    <x:hyperlink ref="B554" location="'Données à étudier'!B31"/>
    <x:hyperlink ref="B561" location="'Rupture de couvain'!B1"/>
    <x:hyperlink ref="B564" location="'Rupture de couvain'!AF3"/>
    <x:hyperlink ref="B574" location="'Rupture de couvain'!N34"/>
    <x:hyperlink ref="B592" location="'Rupture de couvain'!AG35"/>
    <x:hyperlink ref="B595" location="'Rupture de couvain'!AG36"/>
    <x:hyperlink ref="B598" location="'Rupture de couvain'!AI46"/>
    <x:hyperlink ref="B601" location="'Rupture de couvain'!AI49"/>
    <x:hyperlink ref="B604" location="'Rupture de couvain'!BE51"/>
    <x:hyperlink ref="B607" location="'Rupture de couvain'!AZ40"/>
  </x:hyperlinks>
  <x:printOptions horizontalCentered="1"/>
  <x:pageMargins left="0.3" right="0.3" top="0.35" bottom="0.35" header="0.15" footer="0.15"/>
  <x:pageSetup paperSize="9" orientation="landscape" fitToWidth="1" fitToHeight="0"/>
</x:worksheet>
</file>

<file path=xl/fr/worksheets/sheet3.xml><?xml version="1.0" encoding="utf-8"?>
<x:worksheet xmlns:x="http://schemas.openxmlformats.org/spreadsheetml/2006/main">
  <x:sheetPr>
    <x:tabColor rgb="FFC49A48"/>
    <x:pageSetUpPr fitToPage="1"/>
  </x:sheetPr>
  <x:sheetViews>
    <x:sheetView showGridLines="0" workbookViewId="0" zoomScale="85" topLeftCell="A1"/>
  </x:sheetViews>
  <x:sheetFormatPr defaultRowHeight="15"/>
  <x:cols>
    <x:col min="1" max="1" width="3"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3"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s>
  <x:sheetData>
    <x:row r="1" ht="18" customHeight="1">
      <x:c r="A1" s="498"/>
      <x:c r="B1" s="498"/>
      <x:c r="C1" s="498"/>
      <x:c r="D1" s="498"/>
      <x:c r="E1" s="498"/>
      <x:c r="F1" s="498"/>
      <x:c r="G1" s="498"/>
      <x:c r="H1" s="498"/>
      <x:c r="I1" s="498"/>
      <x:c r="J1" s="498"/>
      <x:c r="K1" s="498"/>
      <x:c r="L1" s="498"/>
      <x:c r="M1" s="498"/>
      <x:c r="N1" s="498"/>
    </x:row>
    <x:row r="2" ht="18" customHeight="1">
      <x:c r="A2" s="498"/>
      <x:c r="B2" s="501" t="str">
        <x:v>Lire les illustrations en français</x:v>
      </x:c>
      <x:c r="C2" s="501" t="str">
        <x:v>Lire les illustrations en français</x:v>
      </x:c>
      <x:c r="D2" s="501" t="str">
        <x:v>Lire les illustrations en français</x:v>
      </x:c>
      <x:c r="E2" s="501" t="str">
        <x:v>Lire les illustrations en français</x:v>
      </x:c>
      <x:c r="F2" s="501" t="str">
        <x:v>Lire les illustrations en français</x:v>
      </x:c>
      <x:c r="G2" s="501" t="str">
        <x:v>Lire les illustrations en français</x:v>
      </x:c>
      <x:c r="H2" s="501" t="str">
        <x:v>Lire les illustrations en français</x:v>
      </x:c>
      <x:c r="I2" s="501" t="str">
        <x:v>Lire les illustrations en français</x:v>
      </x:c>
      <x:c r="J2" s="501" t="str">
        <x:v>Lire les illustrations en français</x:v>
      </x:c>
      <x:c r="K2" s="501" t="str">
        <x:v>Lire les illustrations en français</x:v>
      </x:c>
      <x:c r="L2" s="501" t="str">
        <x:v>Lire les illustrations en français</x:v>
      </x:c>
      <x:c r="M2" s="501" t="str">
        <x:v>Lire les illustrations en français</x:v>
      </x:c>
      <x:c r="N2" s="501" t="str">
        <x:v>Lire les illustrations en français</x:v>
      </x:c>
    </x:row>
    <x:row r="3" ht="18" customHeight="1">
      <x:c r="A3" s="498"/>
      <x:c r="B3" s="501" t="str">
        <x:v>Lire les illustrations en français</x:v>
      </x:c>
      <x:c r="C3" s="501" t="str">
        <x:v>Lire les illustrations en français</x:v>
      </x:c>
      <x:c r="D3" s="501" t="str">
        <x:v>Lire les illustrations en français</x:v>
      </x:c>
      <x:c r="E3" s="501" t="str">
        <x:v>Lire les illustrations en français</x:v>
      </x:c>
      <x:c r="F3" s="501" t="str">
        <x:v>Lire les illustrations en français</x:v>
      </x:c>
      <x:c r="G3" s="501" t="str">
        <x:v>Lire les illustrations en français</x:v>
      </x:c>
      <x:c r="H3" s="501" t="str">
        <x:v>Lire les illustrations en français</x:v>
      </x:c>
      <x:c r="I3" s="501" t="str">
        <x:v>Lire les illustrations en français</x:v>
      </x:c>
      <x:c r="J3" s="501" t="str">
        <x:v>Lire les illustrations en français</x:v>
      </x:c>
      <x:c r="K3" s="501" t="str">
        <x:v>Lire les illustrations en français</x:v>
      </x:c>
      <x:c r="L3" s="501" t="str">
        <x:v>Lire les illustrations en français</x:v>
      </x:c>
      <x:c r="M3" s="501" t="str">
        <x:v>Lire les illustrations en français</x:v>
      </x:c>
      <x:c r="N3" s="501" t="str">
        <x:v>Lire les illustrations en français</x:v>
      </x:c>
    </x:row>
    <x:row r="4" ht="18" customHeight="1">
      <x:c r="A4" s="498"/>
      <x:c r="B4" s="498"/>
      <x:c r="C4" s="498"/>
      <x:c r="D4" s="498"/>
      <x:c r="E4" s="498"/>
      <x:c r="F4" s="498"/>
      <x:c r="G4" s="498"/>
      <x:c r="H4" s="498"/>
      <x:c r="I4" s="498"/>
      <x:c r="J4" s="498"/>
      <x:c r="K4" s="498"/>
      <x:c r="L4" s="498"/>
      <x:c r="M4" s="498"/>
      <x:c r="N4" s="498"/>
    </x:row>
    <x:row r="5" ht="18" customHeight="1">
      <x:c r="A5" s="498"/>
      <x:c r="B5" s="508" t="str">
        <x:v>Chaque document original est présenté à gauche, avec la traduction de ses inscriptions à droite. Les courbes, valeurs, symboles et photographies n’ont pas été modifiés. Les deux variantes SVG des figures 2 et 4 portent le même contenu.</x:v>
      </x:c>
      <x:c r="C5" s="508" t="str">
        <x:v>Chaque document original est présenté à gauche, avec la traduction de ses inscriptions à droite. Les courbes, valeurs, symboles et photographies n’ont pas été modifiés. Les deux variantes SVG des figures 2 et 4 portent le même contenu.</x:v>
      </x:c>
      <x:c r="D5" s="508" t="str">
        <x:v>Chaque document original est présenté à gauche, avec la traduction de ses inscriptions à droite. Les courbes, valeurs, symboles et photographies n’ont pas été modifiés. Les deux variantes SVG des figures 2 et 4 portent le même contenu.</x:v>
      </x:c>
      <x:c r="E5" s="508" t="str">
        <x:v>Chaque document original est présenté à gauche, avec la traduction de ses inscriptions à droite. Les courbes, valeurs, symboles et photographies n’ont pas été modifiés. Les deux variantes SVG des figures 2 et 4 portent le même contenu.</x:v>
      </x:c>
      <x:c r="F5" s="508" t="str">
        <x:v>Chaque document original est présenté à gauche, avec la traduction de ses inscriptions à droite. Les courbes, valeurs, symboles et photographies n’ont pas été modifiés. Les deux variantes SVG des figures 2 et 4 portent le même contenu.</x:v>
      </x:c>
      <x:c r="G5" s="508" t="str">
        <x:v>Chaque document original est présenté à gauche, avec la traduction de ses inscriptions à droite. Les courbes, valeurs, symboles et photographies n’ont pas été modifiés. Les deux variantes SVG des figures 2 et 4 portent le même contenu.</x:v>
      </x:c>
      <x:c r="H5" s="508" t="str">
        <x:v>Chaque document original est présenté à gauche, avec la traduction de ses inscriptions à droite. Les courbes, valeurs, symboles et photographies n’ont pas été modifiés. Les deux variantes SVG des figures 2 et 4 portent le même contenu.</x:v>
      </x:c>
      <x:c r="I5" s="508" t="str">
        <x:v>Chaque document original est présenté à gauche, avec la traduction de ses inscriptions à droite. Les courbes, valeurs, symboles et photographies n’ont pas été modifiés. Les deux variantes SVG des figures 2 et 4 portent le même contenu.</x:v>
      </x:c>
      <x:c r="J5" s="508" t="str">
        <x:v>Chaque document original est présenté à gauche, avec la traduction de ses inscriptions à droite. Les courbes, valeurs, symboles et photographies n’ont pas été modifiés. Les deux variantes SVG des figures 2 et 4 portent le même contenu.</x:v>
      </x:c>
      <x:c r="K5" s="508" t="str">
        <x:v>Chaque document original est présenté à gauche, avec la traduction de ses inscriptions à droite. Les courbes, valeurs, symboles et photographies n’ont pas été modifiés. Les deux variantes SVG des figures 2 et 4 portent le même contenu.</x:v>
      </x:c>
      <x:c r="L5" s="508" t="str">
        <x:v>Chaque document original est présenté à gauche, avec la traduction de ses inscriptions à droite. Les courbes, valeurs, symboles et photographies n’ont pas été modifiés. Les deux variantes SVG des figures 2 et 4 portent le même contenu.</x:v>
      </x:c>
      <x:c r="M5" s="508" t="str">
        <x:v>Chaque document original est présenté à gauche, avec la traduction de ses inscriptions à droite. Les courbes, valeurs, symboles et photographies n’ont pas été modifiés. Les deux variantes SVG des figures 2 et 4 portent le même contenu.</x:v>
      </x:c>
      <x:c r="N5" s="508" t="str">
        <x:v>Chaque document original est présenté à gauche, avec la traduction de ses inscriptions à droite. Les courbes, valeurs, symboles et photographies n’ont pas été modifiés. Les deux variantes SVG des figures 2 et 4 portent le même contenu.</x:v>
      </x:c>
    </x:row>
    <x:row r="6" ht="18" customHeight="1">
      <x:c r="A6" s="498"/>
      <x:c r="B6" s="508" t="str">
        <x:v>Chaque document original est présenté à gauche, avec la traduction de ses inscriptions à droite. Les courbes, valeurs, symboles et photographies n’ont pas été modifiés. Les deux variantes SVG des figures 2 et 4 portent le même contenu.</x:v>
      </x:c>
      <x:c r="C6" s="508" t="str">
        <x:v>Chaque document original est présenté à gauche, avec la traduction de ses inscriptions à droite. Les courbes, valeurs, symboles et photographies n’ont pas été modifiés. Les deux variantes SVG des figures 2 et 4 portent le même contenu.</x:v>
      </x:c>
      <x:c r="D6" s="508" t="str">
        <x:v>Chaque document original est présenté à gauche, avec la traduction de ses inscriptions à droite. Les courbes, valeurs, symboles et photographies n’ont pas été modifiés. Les deux variantes SVG des figures 2 et 4 portent le même contenu.</x:v>
      </x:c>
      <x:c r="E6" s="508" t="str">
        <x:v>Chaque document original est présenté à gauche, avec la traduction de ses inscriptions à droite. Les courbes, valeurs, symboles et photographies n’ont pas été modifiés. Les deux variantes SVG des figures 2 et 4 portent le même contenu.</x:v>
      </x:c>
      <x:c r="F6" s="508" t="str">
        <x:v>Chaque document original est présenté à gauche, avec la traduction de ses inscriptions à droite. Les courbes, valeurs, symboles et photographies n’ont pas été modifiés. Les deux variantes SVG des figures 2 et 4 portent le même contenu.</x:v>
      </x:c>
      <x:c r="G6" s="508" t="str">
        <x:v>Chaque document original est présenté à gauche, avec la traduction de ses inscriptions à droite. Les courbes, valeurs, symboles et photographies n’ont pas été modifiés. Les deux variantes SVG des figures 2 et 4 portent le même contenu.</x:v>
      </x:c>
      <x:c r="H6" s="508" t="str">
        <x:v>Chaque document original est présenté à gauche, avec la traduction de ses inscriptions à droite. Les courbes, valeurs, symboles et photographies n’ont pas été modifiés. Les deux variantes SVG des figures 2 et 4 portent le même contenu.</x:v>
      </x:c>
      <x:c r="I6" s="508" t="str">
        <x:v>Chaque document original est présenté à gauche, avec la traduction de ses inscriptions à droite. Les courbes, valeurs, symboles et photographies n’ont pas été modifiés. Les deux variantes SVG des figures 2 et 4 portent le même contenu.</x:v>
      </x:c>
      <x:c r="J6" s="508" t="str">
        <x:v>Chaque document original est présenté à gauche, avec la traduction de ses inscriptions à droite. Les courbes, valeurs, symboles et photographies n’ont pas été modifiés. Les deux variantes SVG des figures 2 et 4 portent le même contenu.</x:v>
      </x:c>
      <x:c r="K6" s="508" t="str">
        <x:v>Chaque document original est présenté à gauche, avec la traduction de ses inscriptions à droite. Les courbes, valeurs, symboles et photographies n’ont pas été modifiés. Les deux variantes SVG des figures 2 et 4 portent le même contenu.</x:v>
      </x:c>
      <x:c r="L6" s="508" t="str">
        <x:v>Chaque document original est présenté à gauche, avec la traduction de ses inscriptions à droite. Les courbes, valeurs, symboles et photographies n’ont pas été modifiés. Les deux variantes SVG des figures 2 et 4 portent le même contenu.</x:v>
      </x:c>
      <x:c r="M6" s="508" t="str">
        <x:v>Chaque document original est présenté à gauche, avec la traduction de ses inscriptions à droite. Les courbes, valeurs, symboles et photographies n’ont pas été modifiés. Les deux variantes SVG des figures 2 et 4 portent le même contenu.</x:v>
      </x:c>
      <x:c r="N6" s="508" t="str">
        <x:v>Chaque document original est présenté à gauche, avec la traduction de ses inscriptions à droite. Les courbes, valeurs, symboles et photographies n’ont pas été modifiés. Les deux variantes SVG des figures 2 et 4 portent le même contenu.</x:v>
      </x:c>
    </x:row>
    <x:row r="7" ht="18" customHeight="1">
      <x:c r="A7" s="498"/>
      <x:c r="B7" s="508" t="str">
        <x:v>Chaque document original est présenté à gauche, avec la traduction de ses inscriptions à droite. Les courbes, valeurs, symboles et photographies n’ont pas été modifiés. Les deux variantes SVG des figures 2 et 4 portent le même contenu.</x:v>
      </x:c>
      <x:c r="C7" s="508" t="str">
        <x:v>Chaque document original est présenté à gauche, avec la traduction de ses inscriptions à droite. Les courbes, valeurs, symboles et photographies n’ont pas été modifiés. Les deux variantes SVG des figures 2 et 4 portent le même contenu.</x:v>
      </x:c>
      <x:c r="D7" s="508" t="str">
        <x:v>Chaque document original est présenté à gauche, avec la traduction de ses inscriptions à droite. Les courbes, valeurs, symboles et photographies n’ont pas été modifiés. Les deux variantes SVG des figures 2 et 4 portent le même contenu.</x:v>
      </x:c>
      <x:c r="E7" s="508" t="str">
        <x:v>Chaque document original est présenté à gauche, avec la traduction de ses inscriptions à droite. Les courbes, valeurs, symboles et photographies n’ont pas été modifiés. Les deux variantes SVG des figures 2 et 4 portent le même contenu.</x:v>
      </x:c>
      <x:c r="F7" s="508" t="str">
        <x:v>Chaque document original est présenté à gauche, avec la traduction de ses inscriptions à droite. Les courbes, valeurs, symboles et photographies n’ont pas été modifiés. Les deux variantes SVG des figures 2 et 4 portent le même contenu.</x:v>
      </x:c>
      <x:c r="G7" s="508" t="str">
        <x:v>Chaque document original est présenté à gauche, avec la traduction de ses inscriptions à droite. Les courbes, valeurs, symboles et photographies n’ont pas été modifiés. Les deux variantes SVG des figures 2 et 4 portent le même contenu.</x:v>
      </x:c>
      <x:c r="H7" s="508" t="str">
        <x:v>Chaque document original est présenté à gauche, avec la traduction de ses inscriptions à droite. Les courbes, valeurs, symboles et photographies n’ont pas été modifiés. Les deux variantes SVG des figures 2 et 4 portent le même contenu.</x:v>
      </x:c>
      <x:c r="I7" s="508" t="str">
        <x:v>Chaque document original est présenté à gauche, avec la traduction de ses inscriptions à droite. Les courbes, valeurs, symboles et photographies n’ont pas été modifiés. Les deux variantes SVG des figures 2 et 4 portent le même contenu.</x:v>
      </x:c>
      <x:c r="J7" s="508" t="str">
        <x:v>Chaque document original est présenté à gauche, avec la traduction de ses inscriptions à droite. Les courbes, valeurs, symboles et photographies n’ont pas été modifiés. Les deux variantes SVG des figures 2 et 4 portent le même contenu.</x:v>
      </x:c>
      <x:c r="K7" s="508" t="str">
        <x:v>Chaque document original est présenté à gauche, avec la traduction de ses inscriptions à droite. Les courbes, valeurs, symboles et photographies n’ont pas été modifiés. Les deux variantes SVG des figures 2 et 4 portent le même contenu.</x:v>
      </x:c>
      <x:c r="L7" s="508" t="str">
        <x:v>Chaque document original est présenté à gauche, avec la traduction de ses inscriptions à droite. Les courbes, valeurs, symboles et photographies n’ont pas été modifiés. Les deux variantes SVG des figures 2 et 4 portent le même contenu.</x:v>
      </x:c>
      <x:c r="M7" s="508" t="str">
        <x:v>Chaque document original est présenté à gauche, avec la traduction de ses inscriptions à droite. Les courbes, valeurs, symboles et photographies n’ont pas été modifiés. Les deux variantes SVG des figures 2 et 4 portent le même contenu.</x:v>
      </x:c>
      <x:c r="N7" s="508" t="str">
        <x:v>Chaque document original est présenté à gauche, avec la traduction de ses inscriptions à droite. Les courbes, valeurs, symboles et photographies n’ont pas été modifiés. Les deux variantes SVG des figures 2 et 4 portent le même contenu.</x:v>
      </x:c>
    </x:row>
    <x:row r="8" ht="18" customHeight="1">
      <x:c r="A8" s="498"/>
      <x:c r="B8" s="498"/>
      <x:c r="C8" s="498"/>
      <x:c r="D8" s="498"/>
      <x:c r="E8" s="498"/>
      <x:c r="F8" s="498"/>
      <x:c r="G8" s="498"/>
      <x:c r="H8" s="498"/>
      <x:c r="I8" s="498"/>
      <x:c r="J8" s="498"/>
      <x:c r="K8" s="498"/>
      <x:c r="L8" s="498"/>
      <x:c r="M8" s="498"/>
      <x:c r="N8" s="498"/>
    </x:row>
    <x:row r="9" ht="18" customHeight="1">
      <x:c r="A9" s="498"/>
      <x:c r="B9" s="525" t="str">
        <x:v>01 · Légende des courbes du modèle</x:v>
      </x:c>
      <x:c r="C9" s="525" t="str">
        <x:v>01 · Légende des courbes du modèle</x:v>
      </x:c>
      <x:c r="D9" s="525" t="str">
        <x:v>01 · Légende des courbes du modèle</x:v>
      </x:c>
      <x:c r="E9" s="525" t="str">
        <x:v>01 · Légende des courbes du modèle</x:v>
      </x:c>
      <x:c r="F9" s="525" t="str">
        <x:v>01 · Légende des courbes du modèle</x:v>
      </x:c>
      <x:c r="G9" s="525" t="str">
        <x:v>01 · Légende des courbes du modèle</x:v>
      </x:c>
      <x:c r="H9" s="525" t="str">
        <x:v>01 · Légende des courbes du modèle</x:v>
      </x:c>
      <x:c r="I9" s="525" t="str">
        <x:v>01 · Légende des courbes du modèle</x:v>
      </x:c>
      <x:c r="J9" s="525" t="str">
        <x:v>01 · Légende des courbes du modèle</x:v>
      </x:c>
      <x:c r="K9" s="525" t="str">
        <x:v>01 · Légende des courbes du modèle</x:v>
      </x:c>
      <x:c r="L9" s="525" t="str">
        <x:v>01 · Légende des courbes du modèle</x:v>
      </x:c>
      <x:c r="M9" s="525" t="str">
        <x:v>01 · Légende des courbes du modèle</x:v>
      </x:c>
      <x:c r="N9" s="525" t="str">
        <x:v>01 · Légende des courbes du modèle</x:v>
      </x:c>
    </x:row>
    <x:row r="10" ht="18" customHeight="1">
      <x:c r="A10" s="498"/>
      <x:c r="B10" s="525" t="str">
        <x:v>01 · Légende des courbes du modèle</x:v>
      </x:c>
      <x:c r="C10" s="525" t="str">
        <x:v>01 · Légende des courbes du modèle</x:v>
      </x:c>
      <x:c r="D10" s="525" t="str">
        <x:v>01 · Légende des courbes du modèle</x:v>
      </x:c>
      <x:c r="E10" s="525" t="str">
        <x:v>01 · Légende des courbes du modèle</x:v>
      </x:c>
      <x:c r="F10" s="525" t="str">
        <x:v>01 · Légende des courbes du modèle</x:v>
      </x:c>
      <x:c r="G10" s="525" t="str">
        <x:v>01 · Légende des courbes du modèle</x:v>
      </x:c>
      <x:c r="H10" s="525" t="str">
        <x:v>01 · Légende des courbes du modèle</x:v>
      </x:c>
      <x:c r="I10" s="525" t="str">
        <x:v>01 · Légende des courbes du modèle</x:v>
      </x:c>
      <x:c r="J10" s="525" t="str">
        <x:v>01 · Légende des courbes du modèle</x:v>
      </x:c>
      <x:c r="K10" s="525" t="str">
        <x:v>01 · Légende des courbes du modèle</x:v>
      </x:c>
      <x:c r="L10" s="525" t="str">
        <x:v>01 · Légende des courbes du modèle</x:v>
      </x:c>
      <x:c r="M10" s="525" t="str">
        <x:v>01 · Légende des courbes du modèle</x:v>
      </x:c>
      <x:c r="N10" s="525" t="str">
        <x:v>01 · Légende des courbes du modèle</x:v>
      </x:c>
    </x:row>
    <x:row r="11" ht="18" customHeight="1">
      <x:c r="A11" s="498"/>
      <x:c r="B11" s="520" t="str">
        <x:v>Modèle principal — légende originale</x:v>
      </x:c>
      <x:c r="C11" s="520" t="str">
        <x:v>Modèle principal — légende originale</x:v>
      </x:c>
      <x:c r="D11" s="520" t="str">
        <x:v>Modèle principal — légende originale</x:v>
      </x:c>
      <x:c r="E11" s="520" t="str">
        <x:v>Modèle principal — légende originale</x:v>
      </x:c>
      <x:c r="F11" s="520" t="str">
        <x:v>Modèle principal — légende originale</x:v>
      </x:c>
      <x:c r="G11" s="520" t="str">
        <x:v>Modèle principal — légende originale</x:v>
      </x:c>
      <x:c r="H11" s="520" t="str">
        <x:v>Modèle principal — légende originale</x:v>
      </x:c>
      <x:c r="I11" s="520" t="str">
        <x:v>Modèle principal — légende originale</x:v>
      </x:c>
      <x:c r="J11" s="520" t="str">
        <x:v>Modèle principal — légende originale</x:v>
      </x:c>
      <x:c r="K11" s="520" t="str">
        <x:v>Modèle principal — légende originale</x:v>
      </x:c>
      <x:c r="L11" s="520" t="str">
        <x:v>Modèle principal — légende originale</x:v>
      </x:c>
      <x:c r="M11" s="520" t="str">
        <x:v>Modèle principal — légende originale</x:v>
      </x:c>
      <x:c r="N11" s="520" t="str">
        <x:v>Modèle principal — légende originale</x:v>
      </x:c>
    </x:row>
    <x:row r="12" ht="18" customHeight="1">
      <x:c r="A12" s="498"/>
      <x:c r="B12" s="498"/>
      <x:c r="C12" s="498"/>
      <x:c r="D12" s="498"/>
      <x:c r="E12" s="498"/>
      <x:c r="F12" s="498"/>
      <x:c r="G12" s="498"/>
      <x:c r="H12" s="498"/>
      <x:c r="I12" s="498"/>
      <x:c r="J12" s="498"/>
      <x:c r="K12" s="498"/>
      <x:c r="L12" s="498"/>
      <x:c r="M12" s="498"/>
      <x:c r="N12" s="498"/>
    </x:row>
    <x:row r="13" ht="18" customHeight="1">
      <x:c r="A13" s="498"/>
      <x:c r="B13" s="498"/>
      <x:c r="C13" s="498"/>
      <x:c r="D13" s="498"/>
      <x:c r="E13" s="498"/>
      <x:c r="F13" s="498"/>
      <x:c r="G13" s="498"/>
      <x:c r="H13" s="498"/>
      <x:c r="I13" s="508" t="str">
        <x:v>Population d’abeilles adultes. Nombre total de nymphes. Nymphes parasitées. Effondrement. Population totale de varroas. Comptage des varroas par lavage d’environ 120 mL d’abeilles (une demi-tasse dans l’original). Traitement.</x:v>
      </x:c>
      <x:c r="J13" s="508" t="str">
        <x:v>Population d’abeilles adultes. Nombre total de nymphes. Nymphes parasitées. Effondrement. Population totale de varroas. Comptage des varroas par lavage d’environ 120 mL d’abeilles (une demi-tasse dans l’original). Traitement.</x:v>
      </x:c>
      <x:c r="K13" s="508" t="str">
        <x:v>Population d’abeilles adultes. Nombre total de nymphes. Nymphes parasitées. Effondrement. Population totale de varroas. Comptage des varroas par lavage d’environ 120 mL d’abeilles (une demi-tasse dans l’original). Traitement.</x:v>
      </x:c>
      <x:c r="L13" s="508" t="str">
        <x:v>Population d’abeilles adultes. Nombre total de nymphes. Nymphes parasitées. Effondrement. Population totale de varroas. Comptage des varroas par lavage d’environ 120 mL d’abeilles (une demi-tasse dans l’original). Traitement.</x:v>
      </x:c>
      <x:c r="M13" s="508" t="str">
        <x:v>Population d’abeilles adultes. Nombre total de nymphes. Nymphes parasitées. Effondrement. Population totale de varroas. Comptage des varroas par lavage d’environ 120 mL d’abeilles (une demi-tasse dans l’original). Traitement.</x:v>
      </x:c>
      <x:c r="N13" s="508" t="str">
        <x:v>Population d’abeilles adultes. Nombre total de nymphes. Nymphes parasitées. Effondrement. Population totale de varroas. Comptage des varroas par lavage d’environ 120 mL d’abeilles (une demi-tasse dans l’original). Traitement.</x:v>
      </x:c>
    </x:row>
    <x:row r="14" ht="18" customHeight="1">
      <x:c r="A14" s="498"/>
      <x:c r="B14" s="498"/>
      <x:c r="C14" s="498"/>
      <x:c r="D14" s="498"/>
      <x:c r="E14" s="498"/>
      <x:c r="F14" s="498"/>
      <x:c r="G14" s="498"/>
      <x:c r="H14" s="498"/>
      <x:c r="I14" s="508" t="str">
        <x:v>Population d’abeilles adultes. Nombre total de nymphes. Nymphes parasitées. Effondrement. Population totale de varroas. Comptage des varroas par lavage d’environ 120 mL d’abeilles (une demi-tasse dans l’original). Traitement.</x:v>
      </x:c>
      <x:c r="J14" s="508" t="str">
        <x:v>Population d’abeilles adultes. Nombre total de nymphes. Nymphes parasitées. Effondrement. Population totale de varroas. Comptage des varroas par lavage d’environ 120 mL d’abeilles (une demi-tasse dans l’original). Traitement.</x:v>
      </x:c>
      <x:c r="K14" s="508" t="str">
        <x:v>Population d’abeilles adultes. Nombre total de nymphes. Nymphes parasitées. Effondrement. Population totale de varroas. Comptage des varroas par lavage d’environ 120 mL d’abeilles (une demi-tasse dans l’original). Traitement.</x:v>
      </x:c>
      <x:c r="L14" s="508" t="str">
        <x:v>Population d’abeilles adultes. Nombre total de nymphes. Nymphes parasitées. Effondrement. Population totale de varroas. Comptage des varroas par lavage d’environ 120 mL d’abeilles (une demi-tasse dans l’original). Traitement.</x:v>
      </x:c>
      <x:c r="M14" s="508" t="str">
        <x:v>Population d’abeilles adultes. Nombre total de nymphes. Nymphes parasitées. Effondrement. Population totale de varroas. Comptage des varroas par lavage d’environ 120 mL d’abeilles (une demi-tasse dans l’original). Traitement.</x:v>
      </x:c>
      <x:c r="N14" s="508" t="str">
        <x:v>Population d’abeilles adultes. Nombre total de nymphes. Nymphes parasitées. Effondrement. Population totale de varroas. Comptage des varroas par lavage d’environ 120 mL d’abeilles (une demi-tasse dans l’original). Traitement.</x:v>
      </x:c>
    </x:row>
    <x:row r="15" ht="18" customHeight="1">
      <x:c r="A15" s="498"/>
      <x:c r="B15" s="498"/>
      <x:c r="C15" s="498"/>
      <x:c r="D15" s="498"/>
      <x:c r="E15" s="498"/>
      <x:c r="F15" s="498"/>
      <x:c r="G15" s="498"/>
      <x:c r="H15" s="498"/>
      <x:c r="I15" s="508" t="str">
        <x:v>Population d’abeilles adultes. Nombre total de nymphes. Nymphes parasitées. Effondrement. Population totale de varroas. Comptage des varroas par lavage d’environ 120 mL d’abeilles (une demi-tasse dans l’original). Traitement.</x:v>
      </x:c>
      <x:c r="J15" s="508" t="str">
        <x:v>Population d’abeilles adultes. Nombre total de nymphes. Nymphes parasitées. Effondrement. Population totale de varroas. Comptage des varroas par lavage d’environ 120 mL d’abeilles (une demi-tasse dans l’original). Traitement.</x:v>
      </x:c>
      <x:c r="K15" s="508" t="str">
        <x:v>Population d’abeilles adultes. Nombre total de nymphes. Nymphes parasitées. Effondrement. Population totale de varroas. Comptage des varroas par lavage d’environ 120 mL d’abeilles (une demi-tasse dans l’original). Traitement.</x:v>
      </x:c>
      <x:c r="L15" s="508" t="str">
        <x:v>Population d’abeilles adultes. Nombre total de nymphes. Nymphes parasitées. Effondrement. Population totale de varroas. Comptage des varroas par lavage d’environ 120 mL d’abeilles (une demi-tasse dans l’original). Traitement.</x:v>
      </x:c>
      <x:c r="M15" s="508" t="str">
        <x:v>Population d’abeilles adultes. Nombre total de nymphes. Nymphes parasitées. Effondrement. Population totale de varroas. Comptage des varroas par lavage d’environ 120 mL d’abeilles (une demi-tasse dans l’original). Traitement.</x:v>
      </x:c>
      <x:c r="N15" s="508" t="str">
        <x:v>Population d’abeilles adultes. Nombre total de nymphes. Nymphes parasitées. Effondrement. Population totale de varroas. Comptage des varroas par lavage d’environ 120 mL d’abeilles (une demi-tasse dans l’original). Traitement.</x:v>
      </x:c>
    </x:row>
    <x:row r="16" ht="18" customHeight="1">
      <x:c r="A16" s="498"/>
      <x:c r="B16" s="498"/>
      <x:c r="C16" s="498"/>
      <x:c r="D16" s="498"/>
      <x:c r="E16" s="498"/>
      <x:c r="F16" s="498"/>
      <x:c r="G16" s="498"/>
      <x:c r="H16" s="498"/>
      <x:c r="I16" s="508" t="str">
        <x:v>Population d’abeilles adultes. Nombre total de nymphes. Nymphes parasitées. Effondrement. Population totale de varroas. Comptage des varroas par lavage d’environ 120 mL d’abeilles (une demi-tasse dans l’original). Traitement.</x:v>
      </x:c>
      <x:c r="J16" s="508" t="str">
        <x:v>Population d’abeilles adultes. Nombre total de nymphes. Nymphes parasitées. Effondrement. Population totale de varroas. Comptage des varroas par lavage d’environ 120 mL d’abeilles (une demi-tasse dans l’original). Traitement.</x:v>
      </x:c>
      <x:c r="K16" s="508" t="str">
        <x:v>Population d’abeilles adultes. Nombre total de nymphes. Nymphes parasitées. Effondrement. Population totale de varroas. Comptage des varroas par lavage d’environ 120 mL d’abeilles (une demi-tasse dans l’original). Traitement.</x:v>
      </x:c>
      <x:c r="L16" s="508" t="str">
        <x:v>Population d’abeilles adultes. Nombre total de nymphes. Nymphes parasitées. Effondrement. Population totale de varroas. Comptage des varroas par lavage d’environ 120 mL d’abeilles (une demi-tasse dans l’original). Traitement.</x:v>
      </x:c>
      <x:c r="M16" s="508" t="str">
        <x:v>Population d’abeilles adultes. Nombre total de nymphes. Nymphes parasitées. Effondrement. Population totale de varroas. Comptage des varroas par lavage d’environ 120 mL d’abeilles (une demi-tasse dans l’original). Traitement.</x:v>
      </x:c>
      <x:c r="N16" s="508" t="str">
        <x:v>Population d’abeilles adultes. Nombre total de nymphes. Nymphes parasitées. Effondrement. Population totale de varroas. Comptage des varroas par lavage d’environ 120 mL d’abeilles (une demi-tasse dans l’original). Traitement.</x:v>
      </x:c>
    </x:row>
    <x:row r="17" ht="18" customHeight="1">
      <x:c r="A17" s="498"/>
      <x:c r="B17" s="498"/>
      <x:c r="C17" s="498"/>
      <x:c r="D17" s="498"/>
      <x:c r="E17" s="498"/>
      <x:c r="F17" s="498"/>
      <x:c r="G17" s="498"/>
      <x:c r="H17" s="498"/>
      <x:c r="I17" s="498"/>
      <x:c r="J17" s="498"/>
      <x:c r="K17" s="498"/>
      <x:c r="L17" s="498"/>
      <x:c r="M17" s="498"/>
      <x:c r="N17" s="498"/>
    </x:row>
    <x:row r="18" ht="18" customHeight="1">
      <x:c r="A18" s="498"/>
      <x:c r="B18" s="498"/>
      <x:c r="C18" s="498"/>
      <x:c r="D18" s="498"/>
      <x:c r="E18" s="498"/>
      <x:c r="F18" s="498"/>
      <x:c r="G18" s="498"/>
      <x:c r="H18" s="498"/>
      <x:c r="I18" s="508" t="str">
        <x:v>Les couleurs, symboles et valeurs de la figure originale sont conservés. Le modèle suppose 315 abeilles par prélèvement.</x:v>
      </x:c>
      <x:c r="J18" s="508" t="str">
        <x:v>Les couleurs, symboles et valeurs de la figure originale sont conservés. Le modèle suppose 315 abeilles par prélèvement.</x:v>
      </x:c>
      <x:c r="K18" s="508" t="str">
        <x:v>Les couleurs, symboles et valeurs de la figure originale sont conservés. Le modèle suppose 315 abeilles par prélèvement.</x:v>
      </x:c>
      <x:c r="L18" s="508" t="str">
        <x:v>Les couleurs, symboles et valeurs de la figure originale sont conservés. Le modèle suppose 315 abeilles par prélèvement.</x:v>
      </x:c>
      <x:c r="M18" s="508" t="str">
        <x:v>Les couleurs, symboles et valeurs de la figure originale sont conservés. Le modèle suppose 315 abeilles par prélèvement.</x:v>
      </x:c>
      <x:c r="N18" s="508" t="str">
        <x:v>Les couleurs, symboles et valeurs de la figure originale sont conservés. Le modèle suppose 315 abeilles par prélèvement.</x:v>
      </x:c>
    </x:row>
    <x:row r="19" ht="18" customHeight="1">
      <x:c r="A19" s="498"/>
      <x:c r="B19" s="498"/>
      <x:c r="C19" s="498"/>
      <x:c r="D19" s="498"/>
      <x:c r="E19" s="498"/>
      <x:c r="F19" s="498"/>
      <x:c r="G19" s="498"/>
      <x:c r="H19" s="498"/>
      <x:c r="I19" s="508" t="str">
        <x:v>Les couleurs, symboles et valeurs de la figure originale sont conservés. Le modèle suppose 315 abeilles par prélèvement.</x:v>
      </x:c>
      <x:c r="J19" s="508" t="str">
        <x:v>Les couleurs, symboles et valeurs de la figure originale sont conservés. Le modèle suppose 315 abeilles par prélèvement.</x:v>
      </x:c>
      <x:c r="K19" s="508" t="str">
        <x:v>Les couleurs, symboles et valeurs de la figure originale sont conservés. Le modèle suppose 315 abeilles par prélèvement.</x:v>
      </x:c>
      <x:c r="L19" s="508" t="str">
        <x:v>Les couleurs, symboles et valeurs de la figure originale sont conservés. Le modèle suppose 315 abeilles par prélèvement.</x:v>
      </x:c>
      <x:c r="M19" s="508" t="str">
        <x:v>Les couleurs, symboles et valeurs de la figure originale sont conservés. Le modèle suppose 315 abeilles par prélèvement.</x:v>
      </x:c>
      <x:c r="N19" s="508" t="str">
        <x:v>Les couleurs, symboles et valeurs de la figure originale sont conservés. Le modèle suppose 315 abeilles par prélèvement.</x:v>
      </x:c>
    </x:row>
    <x:row r="20" ht="18" customHeight="1">
      <x:c r="A20" s="498"/>
      <x:c r="B20" s="498"/>
      <x:c r="C20" s="498"/>
      <x:c r="D20" s="498"/>
      <x:c r="E20" s="498"/>
      <x:c r="F20" s="498"/>
      <x:c r="G20" s="498"/>
      <x:c r="H20" s="498"/>
      <x:c r="I20" s="508" t="str">
        <x:v>Les couleurs, symboles et valeurs de la figure originale sont conservés. Le modèle suppose 315 abeilles par prélèvement.</x:v>
      </x:c>
      <x:c r="J20" s="508" t="str">
        <x:v>Les couleurs, symboles et valeurs de la figure originale sont conservés. Le modèle suppose 315 abeilles par prélèvement.</x:v>
      </x:c>
      <x:c r="K20" s="508" t="str">
        <x:v>Les couleurs, symboles et valeurs de la figure originale sont conservés. Le modèle suppose 315 abeilles par prélèvement.</x:v>
      </x:c>
      <x:c r="L20" s="508" t="str">
        <x:v>Les couleurs, symboles et valeurs de la figure originale sont conservés. Le modèle suppose 315 abeilles par prélèvement.</x:v>
      </x:c>
      <x:c r="M20" s="508" t="str">
        <x:v>Les couleurs, symboles et valeurs de la figure originale sont conservés. Le modèle suppose 315 abeilles par prélèvement.</x:v>
      </x:c>
      <x:c r="N20" s="508" t="str">
        <x:v>Les couleurs, symboles et valeurs de la figure originale sont conservés. Le modèle suppose 315 abeilles par prélèvement.</x:v>
      </x:c>
    </x:row>
    <x:row r="21" ht="18" customHeight="1">
      <x:c r="A21" s="498"/>
      <x:c r="B21" s="498"/>
      <x:c r="C21" s="498"/>
      <x:c r="D21" s="498"/>
      <x:c r="E21" s="498"/>
      <x:c r="F21" s="498"/>
      <x:c r="G21" s="498"/>
      <x:c r="H21" s="498"/>
      <x:c r="I21" s="498"/>
      <x:c r="J21" s="498"/>
      <x:c r="K21" s="498"/>
      <x:c r="L21" s="498"/>
      <x:c r="M21" s="498"/>
      <x:c r="N21" s="498"/>
    </x:row>
    <x:row r="22" ht="18" customHeight="1">
      <x:c r="A22" s="498"/>
      <x:c r="B22" s="498"/>
      <x:c r="C22" s="498"/>
      <x:c r="D22" s="498"/>
      <x:c r="E22" s="498"/>
      <x:c r="F22" s="498"/>
      <x:c r="G22" s="498"/>
      <x:c r="H22" s="498"/>
      <x:c r="I22" s="498"/>
      <x:c r="J22" s="498"/>
      <x:c r="K22" s="498"/>
      <x:c r="L22" s="498"/>
      <x:c r="M22" s="498"/>
      <x:c r="N22" s="498"/>
    </x:row>
    <x:row r="23" ht="18" customHeight="1">
      <x:c r="A23" s="498"/>
      <x:c r="B23" s="498"/>
      <x:c r="C23" s="498"/>
      <x:c r="D23" s="498"/>
      <x:c r="E23" s="498"/>
      <x:c r="F23" s="498"/>
      <x:c r="G23" s="498"/>
      <x:c r="H23" s="498"/>
      <x:c r="I23" s="498"/>
      <x:c r="J23" s="498"/>
      <x:c r="K23" s="498"/>
      <x:c r="L23" s="498"/>
      <x:c r="M23" s="498"/>
      <x:c r="N23" s="498"/>
    </x:row>
    <x:row r="24" ht="18" customHeight="1">
      <x:c r="A24" s="498"/>
      <x:c r="B24" s="498"/>
      <x:c r="C24" s="498"/>
      <x:c r="D24" s="498"/>
      <x:c r="E24" s="498"/>
      <x:c r="F24" s="498"/>
      <x:c r="G24" s="498"/>
      <x:c r="H24" s="498"/>
      <x:c r="I24" s="498"/>
      <x:c r="J24" s="498"/>
      <x:c r="K24" s="498"/>
      <x:c r="L24" s="498"/>
      <x:c r="M24" s="498"/>
      <x:c r="N24" s="498"/>
    </x:row>
    <x:row r="25" ht="18" customHeight="1">
      <x:c r="A25" s="498"/>
      <x:c r="B25" s="498"/>
      <x:c r="C25" s="498"/>
      <x:c r="D25" s="498"/>
      <x:c r="E25" s="498"/>
      <x:c r="F25" s="498"/>
      <x:c r="G25" s="498"/>
      <x:c r="H25" s="498"/>
      <x:c r="I25" s="498"/>
      <x:c r="J25" s="498"/>
      <x:c r="K25" s="498"/>
      <x:c r="L25" s="498"/>
      <x:c r="M25" s="498"/>
      <x:c r="N25" s="498"/>
    </x:row>
    <x:row r="26" ht="18" customHeight="1">
      <x:c r="A26" s="498"/>
      <x:c r="B26" s="498"/>
      <x:c r="C26" s="498"/>
      <x:c r="D26" s="498"/>
      <x:c r="E26" s="498"/>
      <x:c r="F26" s="498"/>
      <x:c r="G26" s="498"/>
      <x:c r="H26" s="498"/>
      <x:c r="I26" s="498"/>
      <x:c r="J26" s="498"/>
      <x:c r="K26" s="498"/>
      <x:c r="L26" s="498"/>
      <x:c r="M26" s="498"/>
      <x:c r="N26" s="498"/>
    </x:row>
    <x:row r="27" ht="18" customHeight="1">
      <x:c r="A27" s="498"/>
      <x:c r="B27" s="498"/>
      <x:c r="C27" s="498"/>
      <x:c r="D27" s="498"/>
      <x:c r="E27" s="498"/>
      <x:c r="F27" s="498"/>
      <x:c r="G27" s="498"/>
      <x:c r="H27" s="498"/>
      <x:c r="I27" s="498"/>
      <x:c r="J27" s="498"/>
      <x:c r="K27" s="498"/>
      <x:c r="L27" s="498"/>
      <x:c r="M27" s="498"/>
      <x:c r="N27" s="498"/>
    </x:row>
    <x:row r="28" ht="18" customHeight="1">
      <x:c r="A28" s="498"/>
      <x:c r="B28" s="525" t="str">
        <x:v>02 · Alterner les traitements</x:v>
      </x:c>
      <x:c r="C28" s="525" t="str">
        <x:v>02 · Alterner les traitements</x:v>
      </x:c>
      <x:c r="D28" s="525" t="str">
        <x:v>02 · Alterner les traitements</x:v>
      </x:c>
      <x:c r="E28" s="525" t="str">
        <x:v>02 · Alterner les traitements</x:v>
      </x:c>
      <x:c r="F28" s="525" t="str">
        <x:v>02 · Alterner les traitements</x:v>
      </x:c>
      <x:c r="G28" s="525" t="str">
        <x:v>02 · Alterner les traitements</x:v>
      </x:c>
      <x:c r="H28" s="525" t="str">
        <x:v>02 · Alterner les traitements</x:v>
      </x:c>
      <x:c r="I28" s="525" t="str">
        <x:v>02 · Alterner les traitements</x:v>
      </x:c>
      <x:c r="J28" s="525" t="str">
        <x:v>02 · Alterner les traitements</x:v>
      </x:c>
      <x:c r="K28" s="525" t="str">
        <x:v>02 · Alterner les traitements</x:v>
      </x:c>
      <x:c r="L28" s="525" t="str">
        <x:v>02 · Alterner les traitements</x:v>
      </x:c>
      <x:c r="M28" s="525" t="str">
        <x:v>02 · Alterner les traitements</x:v>
      </x:c>
      <x:c r="N28" s="525" t="str">
        <x:v>02 · Alterner les traitements</x:v>
      </x:c>
    </x:row>
    <x:row r="29" ht="18" customHeight="1">
      <x:c r="A29" s="498"/>
      <x:c r="B29" s="525" t="str">
        <x:v>02 · Alterner les traitements</x:v>
      </x:c>
      <x:c r="C29" s="525" t="str">
        <x:v>02 · Alterner les traitements</x:v>
      </x:c>
      <x:c r="D29" s="525" t="str">
        <x:v>02 · Alterner les traitements</x:v>
      </x:c>
      <x:c r="E29" s="525" t="str">
        <x:v>02 · Alterner les traitements</x:v>
      </x:c>
      <x:c r="F29" s="525" t="str">
        <x:v>02 · Alterner les traitements</x:v>
      </x:c>
      <x:c r="G29" s="525" t="str">
        <x:v>02 · Alterner les traitements</x:v>
      </x:c>
      <x:c r="H29" s="525" t="str">
        <x:v>02 · Alterner les traitements</x:v>
      </x:c>
      <x:c r="I29" s="525" t="str">
        <x:v>02 · Alterner les traitements</x:v>
      </x:c>
      <x:c r="J29" s="525" t="str">
        <x:v>02 · Alterner les traitements</x:v>
      </x:c>
      <x:c r="K29" s="525" t="str">
        <x:v>02 · Alterner les traitements</x:v>
      </x:c>
      <x:c r="L29" s="525" t="str">
        <x:v>02 · Alterner les traitements</x:v>
      </x:c>
      <x:c r="M29" s="525" t="str">
        <x:v>02 · Alterner les traitements</x:v>
      </x:c>
      <x:c r="N29" s="525" t="str">
        <x:v>02 · Alterner les traitements</x:v>
      </x:c>
    </x:row>
    <x:row r="30" ht="18" customHeight="1">
      <x:c r="A30" s="498"/>
      <x:c r="B30" s="520" t="str">
        <x:v>Modèle principal — images PNG et SVG du même schéma (images 2 et 3)</x:v>
      </x:c>
      <x:c r="C30" s="520" t="str">
        <x:v>Modèle principal — images PNG et SVG du même schéma (images 2 et 3)</x:v>
      </x:c>
      <x:c r="D30" s="520" t="str">
        <x:v>Modèle principal — images PNG et SVG du même schéma (images 2 et 3)</x:v>
      </x:c>
      <x:c r="E30" s="520" t="str">
        <x:v>Modèle principal — images PNG et SVG du même schéma (images 2 et 3)</x:v>
      </x:c>
      <x:c r="F30" s="520" t="str">
        <x:v>Modèle principal — images PNG et SVG du même schéma (images 2 et 3)</x:v>
      </x:c>
      <x:c r="G30" s="520" t="str">
        <x:v>Modèle principal — images PNG et SVG du même schéma (images 2 et 3)</x:v>
      </x:c>
      <x:c r="H30" s="520" t="str">
        <x:v>Modèle principal — images PNG et SVG du même schéma (images 2 et 3)</x:v>
      </x:c>
      <x:c r="I30" s="520" t="str">
        <x:v>Modèle principal — images PNG et SVG du même schéma (images 2 et 3)</x:v>
      </x:c>
      <x:c r="J30" s="520" t="str">
        <x:v>Modèle principal — images PNG et SVG du même schéma (images 2 et 3)</x:v>
      </x:c>
      <x:c r="K30" s="520" t="str">
        <x:v>Modèle principal — images PNG et SVG du même schéma (images 2 et 3)</x:v>
      </x:c>
      <x:c r="L30" s="520" t="str">
        <x:v>Modèle principal — images PNG et SVG du même schéma (images 2 et 3)</x:v>
      </x:c>
      <x:c r="M30" s="520" t="str">
        <x:v>Modèle principal — images PNG et SVG du même schéma (images 2 et 3)</x:v>
      </x:c>
      <x:c r="N30" s="520" t="str">
        <x:v>Modèle principal — images PNG et SVG du même schéma (images 2 et 3)</x:v>
      </x:c>
    </x:row>
    <x:row r="31" ht="18" customHeight="1">
      <x:c r="A31" s="498"/>
      <x:c r="B31" s="498"/>
      <x:c r="C31" s="498"/>
      <x:c r="D31" s="498"/>
      <x:c r="E31" s="498"/>
      <x:c r="F31" s="498"/>
      <x:c r="G31" s="498"/>
      <x:c r="H31" s="498"/>
      <x:c r="I31" s="498"/>
      <x:c r="J31" s="498"/>
      <x:c r="K31" s="498"/>
      <x:c r="L31" s="498"/>
      <x:c r="M31" s="498"/>
      <x:c r="N31" s="498"/>
    </x:row>
    <x:row r="32" ht="18" customHeight="1">
      <x:c r="A32" s="498"/>
      <x:c r="B32" s="498"/>
      <x:c r="C32" s="498"/>
      <x:c r="D32" s="498"/>
      <x:c r="E32" s="498"/>
      <x:c r="F32" s="498"/>
      <x:c r="G32" s="498"/>
      <x:c r="H32" s="498"/>
      <x:c r="I32" s="508" t="str">
        <x:v>PRINCIPE DE GESTION DU VARROA : alterner les traitements pour éviter le développement de varroas résistants.</x:v>
      </x:c>
      <x:c r="J32" s="508" t="str">
        <x:v>PRINCIPE DE GESTION DU VARROA : alterner les traitements pour éviter le développement de varroas résistants.</x:v>
      </x:c>
      <x:c r="K32" s="508" t="str">
        <x:v>PRINCIPE DE GESTION DU VARROA : alterner les traitements pour éviter le développement de varroas résistants.</x:v>
      </x:c>
      <x:c r="L32" s="508" t="str">
        <x:v>PRINCIPE DE GESTION DU VARROA : alterner les traitements pour éviter le développement de varroas résistants.</x:v>
      </x:c>
      <x:c r="M32" s="508" t="str">
        <x:v>PRINCIPE DE GESTION DU VARROA : alterner les traitements pour éviter le développement de varroas résistants.</x:v>
      </x:c>
      <x:c r="N32" s="508" t="str">
        <x:v>PRINCIPE DE GESTION DU VARROA : alterner les traitements pour éviter le développement de varroas résistants.</x:v>
      </x:c>
    </x:row>
    <x:row r="33" ht="18" customHeight="1">
      <x:c r="A33" s="498"/>
      <x:c r="B33" s="498"/>
      <x:c r="C33" s="498"/>
      <x:c r="D33" s="498"/>
      <x:c r="E33" s="498"/>
      <x:c r="F33" s="498"/>
      <x:c r="G33" s="498"/>
      <x:c r="H33" s="498"/>
      <x:c r="I33" s="508" t="str">
        <x:v>PRINCIPE DE GESTION DU VARROA : alterner les traitements pour éviter le développement de varroas résistants.</x:v>
      </x:c>
      <x:c r="J33" s="508" t="str">
        <x:v>PRINCIPE DE GESTION DU VARROA : alterner les traitements pour éviter le développement de varroas résistants.</x:v>
      </x:c>
      <x:c r="K33" s="508" t="str">
        <x:v>PRINCIPE DE GESTION DU VARROA : alterner les traitements pour éviter le développement de varroas résistants.</x:v>
      </x:c>
      <x:c r="L33" s="508" t="str">
        <x:v>PRINCIPE DE GESTION DU VARROA : alterner les traitements pour éviter le développement de varroas résistants.</x:v>
      </x:c>
      <x:c r="M33" s="508" t="str">
        <x:v>PRINCIPE DE GESTION DU VARROA : alterner les traitements pour éviter le développement de varroas résistants.</x:v>
      </x:c>
      <x:c r="N33" s="508" t="str">
        <x:v>PRINCIPE DE GESTION DU VARROA : alterner les traitements pour éviter le développement de varroas résistants.</x:v>
      </x:c>
    </x:row>
    <x:row r="34" ht="18" customHeight="1">
      <x:c r="A34" s="498"/>
      <x:c r="B34" s="498"/>
      <x:c r="C34" s="498"/>
      <x:c r="D34" s="498"/>
      <x:c r="E34" s="498"/>
      <x:c r="F34" s="498"/>
      <x:c r="G34" s="498"/>
      <x:c r="H34" s="498"/>
      <x:c r="I34" s="508" t="str">
        <x:v>PRINCIPE DE GESTION DU VARROA : alterner les traitements pour éviter le développement de varroas résistants.</x:v>
      </x:c>
      <x:c r="J34" s="508" t="str">
        <x:v>PRINCIPE DE GESTION DU VARROA : alterner les traitements pour éviter le développement de varroas résistants.</x:v>
      </x:c>
      <x:c r="K34" s="508" t="str">
        <x:v>PRINCIPE DE GESTION DU VARROA : alterner les traitements pour éviter le développement de varroas résistants.</x:v>
      </x:c>
      <x:c r="L34" s="508" t="str">
        <x:v>PRINCIPE DE GESTION DU VARROA : alterner les traitements pour éviter le développement de varroas résistants.</x:v>
      </x:c>
      <x:c r="M34" s="508" t="str">
        <x:v>PRINCIPE DE GESTION DU VARROA : alterner les traitements pour éviter le développement de varroas résistants.</x:v>
      </x:c>
      <x:c r="N34" s="508" t="str">
        <x:v>PRINCIPE DE GESTION DU VARROA : alterner les traitements pour éviter le développement de varroas résistants.</x:v>
      </x:c>
    </x:row>
    <x:row r="35" ht="18" customHeight="1">
      <x:c r="A35" s="498"/>
      <x:c r="B35" s="498"/>
      <x:c r="C35" s="498"/>
      <x:c r="D35" s="498"/>
      <x:c r="E35" s="498"/>
      <x:c r="F35" s="498"/>
      <x:c r="G35" s="498"/>
      <x:c r="H35" s="498"/>
      <x:c r="I35" s="498"/>
      <x:c r="J35" s="498"/>
      <x:c r="K35" s="498"/>
      <x:c r="L35" s="498"/>
      <x:c r="M35" s="498"/>
      <x:c r="N35" s="498"/>
    </x:row>
    <x:row r="36" ht="18" customHeight="1">
      <x:c r="A36" s="498"/>
      <x:c r="B36" s="498"/>
      <x:c r="C36" s="498"/>
      <x:c r="D36" s="498"/>
      <x:c r="E36" s="498"/>
      <x:c r="F36" s="498"/>
      <x:c r="G36" s="498"/>
      <x:c r="H36" s="498"/>
      <x:c r="I36" s="508" t="str">
        <x:v>Dans le sens des flèches : acide formique → amitraz ? → thymol → acide oxalique → acide formique.</x:v>
      </x:c>
      <x:c r="J36" s="508" t="str">
        <x:v>Dans le sens des flèches : acide formique → amitraz ? → thymol → acide oxalique → acide formique.</x:v>
      </x:c>
      <x:c r="K36" s="508" t="str">
        <x:v>Dans le sens des flèches : acide formique → amitraz ? → thymol → acide oxalique → acide formique.</x:v>
      </x:c>
      <x:c r="L36" s="508" t="str">
        <x:v>Dans le sens des flèches : acide formique → amitraz ? → thymol → acide oxalique → acide formique.</x:v>
      </x:c>
      <x:c r="M36" s="508" t="str">
        <x:v>Dans le sens des flèches : acide formique → amitraz ? → thymol → acide oxalique → acide formique.</x:v>
      </x:c>
      <x:c r="N36" s="508" t="str">
        <x:v>Dans le sens des flèches : acide formique → amitraz ? → thymol → acide oxalique → acide formique.</x:v>
      </x:c>
    </x:row>
    <x:row r="37" ht="18" customHeight="1">
      <x:c r="A37" s="498"/>
      <x:c r="B37" s="498"/>
      <x:c r="C37" s="498"/>
      <x:c r="D37" s="498"/>
      <x:c r="E37" s="498"/>
      <x:c r="F37" s="498"/>
      <x:c r="G37" s="498"/>
      <x:c r="H37" s="498"/>
      <x:c r="I37" s="508" t="str">
        <x:v>Dans le sens des flèches : acide formique → amitraz ? → thymol → acide oxalique → acide formique.</x:v>
      </x:c>
      <x:c r="J37" s="508" t="str">
        <x:v>Dans le sens des flèches : acide formique → amitraz ? → thymol → acide oxalique → acide formique.</x:v>
      </x:c>
      <x:c r="K37" s="508" t="str">
        <x:v>Dans le sens des flèches : acide formique → amitraz ? → thymol → acide oxalique → acide formique.</x:v>
      </x:c>
      <x:c r="L37" s="508" t="str">
        <x:v>Dans le sens des flèches : acide formique → amitraz ? → thymol → acide oxalique → acide formique.</x:v>
      </x:c>
      <x:c r="M37" s="508" t="str">
        <x:v>Dans le sens des flèches : acide formique → amitraz ? → thymol → acide oxalique → acide formique.</x:v>
      </x:c>
      <x:c r="N37" s="508" t="str">
        <x:v>Dans le sens des flèches : acide formique → amitraz ? → thymol → acide oxalique → acide formique.</x:v>
      </x:c>
    </x:row>
    <x:row r="38" ht="18" customHeight="1">
      <x:c r="A38" s="498"/>
      <x:c r="B38" s="498"/>
      <x:c r="C38" s="498"/>
      <x:c r="D38" s="498"/>
      <x:c r="E38" s="498"/>
      <x:c r="F38" s="498"/>
      <x:c r="G38" s="498"/>
      <x:c r="H38" s="498"/>
      <x:c r="I38" s="508" t="str">
        <x:v>Dans le sens des flèches : acide formique → amitraz ? → thymol → acide oxalique → acide formique.</x:v>
      </x:c>
      <x:c r="J38" s="508" t="str">
        <x:v>Dans le sens des flèches : acide formique → amitraz ? → thymol → acide oxalique → acide formique.</x:v>
      </x:c>
      <x:c r="K38" s="508" t="str">
        <x:v>Dans le sens des flèches : acide formique → amitraz ? → thymol → acide oxalique → acide formique.</x:v>
      </x:c>
      <x:c r="L38" s="508" t="str">
        <x:v>Dans le sens des flèches : acide formique → amitraz ? → thymol → acide oxalique → acide formique.</x:v>
      </x:c>
      <x:c r="M38" s="508" t="str">
        <x:v>Dans le sens des flèches : acide formique → amitraz ? → thymol → acide oxalique → acide formique.</x:v>
      </x:c>
      <x:c r="N38" s="508" t="str">
        <x:v>Dans le sens des flèches : acide formique → amitraz ? → thymol → acide oxalique → acide formique.</x:v>
      </x:c>
    </x:row>
    <x:row r="39" ht="18" customHeight="1">
      <x:c r="A39" s="498"/>
      <x:c r="B39" s="498"/>
      <x:c r="C39" s="498"/>
      <x:c r="D39" s="498"/>
      <x:c r="E39" s="498"/>
      <x:c r="F39" s="498"/>
      <x:c r="G39" s="498"/>
      <x:c r="H39" s="498"/>
      <x:c r="I39" s="498"/>
      <x:c r="J39" s="498"/>
      <x:c r="K39" s="498"/>
      <x:c r="L39" s="498"/>
      <x:c r="M39" s="498"/>
      <x:c r="N39" s="498"/>
    </x:row>
    <x:row r="40" ht="18" customHeight="1">
      <x:c r="A40" s="498"/>
      <x:c r="B40" s="498"/>
      <x:c r="C40" s="498"/>
      <x:c r="D40" s="498"/>
      <x:c r="E40" s="498"/>
      <x:c r="F40" s="498"/>
      <x:c r="G40" s="498"/>
      <x:c r="H40" s="498"/>
      <x:c r="I40" s="508" t="str">
        <x:v>Le point d’interrogation après amitraz figure dans l’original. Cette page traduit le schéma de Randy Oliver, sans ajouter de calendrier ni de dosage.</x:v>
      </x:c>
      <x:c r="J40" s="508" t="str">
        <x:v>Le point d’interrogation après amitraz figure dans l’original. Cette page traduit le schéma de Randy Oliver, sans ajouter de calendrier ni de dosage.</x:v>
      </x:c>
      <x:c r="K40" s="508" t="str">
        <x:v>Le point d’interrogation après amitraz figure dans l’original. Cette page traduit le schéma de Randy Oliver, sans ajouter de calendrier ni de dosage.</x:v>
      </x:c>
      <x:c r="L40" s="508" t="str">
        <x:v>Le point d’interrogation après amitraz figure dans l’original. Cette page traduit le schéma de Randy Oliver, sans ajouter de calendrier ni de dosage.</x:v>
      </x:c>
      <x:c r="M40" s="508" t="str">
        <x:v>Le point d’interrogation après amitraz figure dans l’original. Cette page traduit le schéma de Randy Oliver, sans ajouter de calendrier ni de dosage.</x:v>
      </x:c>
      <x:c r="N40" s="508" t="str">
        <x:v>Le point d’interrogation après amitraz figure dans l’original. Cette page traduit le schéma de Randy Oliver, sans ajouter de calendrier ni de dosage.</x:v>
      </x:c>
    </x:row>
    <x:row r="41" ht="18" customHeight="1">
      <x:c r="A41" s="498"/>
      <x:c r="B41" s="498"/>
      <x:c r="C41" s="498"/>
      <x:c r="D41" s="498"/>
      <x:c r="E41" s="498"/>
      <x:c r="F41" s="498"/>
      <x:c r="G41" s="498"/>
      <x:c r="H41" s="498"/>
      <x:c r="I41" s="508" t="str">
        <x:v>Le point d’interrogation après amitraz figure dans l’original. Cette page traduit le schéma de Randy Oliver, sans ajouter de calendrier ni de dosage.</x:v>
      </x:c>
      <x:c r="J41" s="508" t="str">
        <x:v>Le point d’interrogation après amitraz figure dans l’original. Cette page traduit le schéma de Randy Oliver, sans ajouter de calendrier ni de dosage.</x:v>
      </x:c>
      <x:c r="K41" s="508" t="str">
        <x:v>Le point d’interrogation après amitraz figure dans l’original. Cette page traduit le schéma de Randy Oliver, sans ajouter de calendrier ni de dosage.</x:v>
      </x:c>
      <x:c r="L41" s="508" t="str">
        <x:v>Le point d’interrogation après amitraz figure dans l’original. Cette page traduit le schéma de Randy Oliver, sans ajouter de calendrier ni de dosage.</x:v>
      </x:c>
      <x:c r="M41" s="508" t="str">
        <x:v>Le point d’interrogation après amitraz figure dans l’original. Cette page traduit le schéma de Randy Oliver, sans ajouter de calendrier ni de dosage.</x:v>
      </x:c>
      <x:c r="N41" s="508" t="str">
        <x:v>Le point d’interrogation après amitraz figure dans l’original. Cette page traduit le schéma de Randy Oliver, sans ajouter de calendrier ni de dosage.</x:v>
      </x:c>
    </x:row>
    <x:row r="42" ht="18" customHeight="1">
      <x:c r="A42" s="498"/>
      <x:c r="B42" s="498"/>
      <x:c r="C42" s="498"/>
      <x:c r="D42" s="498"/>
      <x:c r="E42" s="498"/>
      <x:c r="F42" s="498"/>
      <x:c r="G42" s="498"/>
      <x:c r="H42" s="498"/>
      <x:c r="I42" s="508" t="str">
        <x:v>Le point d’interrogation après amitraz figure dans l’original. Cette page traduit le schéma de Randy Oliver, sans ajouter de calendrier ni de dosage.</x:v>
      </x:c>
      <x:c r="J42" s="508" t="str">
        <x:v>Le point d’interrogation après amitraz figure dans l’original. Cette page traduit le schéma de Randy Oliver, sans ajouter de calendrier ni de dosage.</x:v>
      </x:c>
      <x:c r="K42" s="508" t="str">
        <x:v>Le point d’interrogation après amitraz figure dans l’original. Cette page traduit le schéma de Randy Oliver, sans ajouter de calendrier ni de dosage.</x:v>
      </x:c>
      <x:c r="L42" s="508" t="str">
        <x:v>Le point d’interrogation après amitraz figure dans l’original. Cette page traduit le schéma de Randy Oliver, sans ajouter de calendrier ni de dosage.</x:v>
      </x:c>
      <x:c r="M42" s="508" t="str">
        <x:v>Le point d’interrogation après amitraz figure dans l’original. Cette page traduit le schéma de Randy Oliver, sans ajouter de calendrier ni de dosage.</x:v>
      </x:c>
      <x:c r="N42" s="508" t="str">
        <x:v>Le point d’interrogation après amitraz figure dans l’original. Cette page traduit le schéma de Randy Oliver, sans ajouter de calendrier ni de dosage.</x:v>
      </x:c>
    </x:row>
    <x:row r="43" ht="18" customHeight="1">
      <x:c r="A43" s="498"/>
      <x:c r="B43" s="498"/>
      <x:c r="C43" s="498"/>
      <x:c r="D43" s="498"/>
      <x:c r="E43" s="498"/>
      <x:c r="F43" s="498"/>
      <x:c r="G43" s="498"/>
      <x:c r="H43" s="498"/>
      <x:c r="I43" s="508" t="str">
        <x:v>Le point d’interrogation après amitraz figure dans l’original. Cette page traduit le schéma de Randy Oliver, sans ajouter de calendrier ni de dosage.</x:v>
      </x:c>
      <x:c r="J43" s="508" t="str">
        <x:v>Le point d’interrogation après amitraz figure dans l’original. Cette page traduit le schéma de Randy Oliver, sans ajouter de calendrier ni de dosage.</x:v>
      </x:c>
      <x:c r="K43" s="508" t="str">
        <x:v>Le point d’interrogation après amitraz figure dans l’original. Cette page traduit le schéma de Randy Oliver, sans ajouter de calendrier ni de dosage.</x:v>
      </x:c>
      <x:c r="L43" s="508" t="str">
        <x:v>Le point d’interrogation après amitraz figure dans l’original. Cette page traduit le schéma de Randy Oliver, sans ajouter de calendrier ni de dosage.</x:v>
      </x:c>
      <x:c r="M43" s="508" t="str">
        <x:v>Le point d’interrogation après amitraz figure dans l’original. Cette page traduit le schéma de Randy Oliver, sans ajouter de calendrier ni de dosage.</x:v>
      </x:c>
      <x:c r="N43" s="508" t="str">
        <x:v>Le point d’interrogation après amitraz figure dans l’original. Cette page traduit le schéma de Randy Oliver, sans ajouter de calendrier ni de dosage.</x:v>
      </x:c>
    </x:row>
    <x:row r="44" ht="18" customHeight="1">
      <x:c r="A44" s="498"/>
      <x:c r="B44" s="498"/>
      <x:c r="C44" s="498"/>
      <x:c r="D44" s="498"/>
      <x:c r="E44" s="498"/>
      <x:c r="F44" s="498"/>
      <x:c r="G44" s="498"/>
      <x:c r="H44" s="498"/>
      <x:c r="I44" s="498"/>
      <x:c r="J44" s="498"/>
      <x:c r="K44" s="498"/>
      <x:c r="L44" s="498"/>
      <x:c r="M44" s="498"/>
      <x:c r="N44" s="498"/>
    </x:row>
    <x:row r="45" ht="18" customHeight="1">
      <x:c r="A45" s="498"/>
      <x:c r="B45" s="498"/>
      <x:c r="C45" s="498"/>
      <x:c r="D45" s="498"/>
      <x:c r="E45" s="498"/>
      <x:c r="F45" s="498"/>
      <x:c r="G45" s="498"/>
      <x:c r="H45" s="498"/>
      <x:c r="I45" s="498"/>
      <x:c r="J45" s="498"/>
      <x:c r="K45" s="498"/>
      <x:c r="L45" s="498"/>
      <x:c r="M45" s="498"/>
      <x:c r="N45" s="498"/>
    </x:row>
    <x:row r="46" ht="18" customHeight="1">
      <x:c r="A46" s="498"/>
      <x:c r="B46" s="498"/>
      <x:c r="C46" s="498"/>
      <x:c r="D46" s="498"/>
      <x:c r="E46" s="498"/>
      <x:c r="F46" s="498"/>
      <x:c r="G46" s="498"/>
      <x:c r="H46" s="498"/>
      <x:c r="I46" s="498"/>
      <x:c r="J46" s="498"/>
      <x:c r="K46" s="498"/>
      <x:c r="L46" s="498"/>
      <x:c r="M46" s="498"/>
      <x:c r="N46" s="498"/>
    </x:row>
    <x:row r="47" ht="18" customHeight="1">
      <x:c r="A47" s="498"/>
      <x:c r="B47" s="525" t="str">
        <x:v>03 · Varroas, virus et effondrement</x:v>
      </x:c>
      <x:c r="C47" s="525" t="str">
        <x:v>03 · Varroas, virus et effondrement</x:v>
      </x:c>
      <x:c r="D47" s="525" t="str">
        <x:v>03 · Varroas, virus et effondrement</x:v>
      </x:c>
      <x:c r="E47" s="525" t="str">
        <x:v>03 · Varroas, virus et effondrement</x:v>
      </x:c>
      <x:c r="F47" s="525" t="str">
        <x:v>03 · Varroas, virus et effondrement</x:v>
      </x:c>
      <x:c r="G47" s="525" t="str">
        <x:v>03 · Varroas, virus et effondrement</x:v>
      </x:c>
      <x:c r="H47" s="525" t="str">
        <x:v>03 · Varroas, virus et effondrement</x:v>
      </x:c>
      <x:c r="I47" s="525" t="str">
        <x:v>03 · Varroas, virus et effondrement</x:v>
      </x:c>
      <x:c r="J47" s="525" t="str">
        <x:v>03 · Varroas, virus et effondrement</x:v>
      </x:c>
      <x:c r="K47" s="525" t="str">
        <x:v>03 · Varroas, virus et effondrement</x:v>
      </x:c>
      <x:c r="L47" s="525" t="str">
        <x:v>03 · Varroas, virus et effondrement</x:v>
      </x:c>
      <x:c r="M47" s="525" t="str">
        <x:v>03 · Varroas, virus et effondrement</x:v>
      </x:c>
      <x:c r="N47" s="525" t="str">
        <x:v>03 · Varroas, virus et effondrement</x:v>
      </x:c>
    </x:row>
    <x:row r="48" ht="18" customHeight="1">
      <x:c r="A48" s="498"/>
      <x:c r="B48" s="525" t="str">
        <x:v>03 · Varroas, virus et effondrement</x:v>
      </x:c>
      <x:c r="C48" s="525" t="str">
        <x:v>03 · Varroas, virus et effondrement</x:v>
      </x:c>
      <x:c r="D48" s="525" t="str">
        <x:v>03 · Varroas, virus et effondrement</x:v>
      </x:c>
      <x:c r="E48" s="525" t="str">
        <x:v>03 · Varroas, virus et effondrement</x:v>
      </x:c>
      <x:c r="F48" s="525" t="str">
        <x:v>03 · Varroas, virus et effondrement</x:v>
      </x:c>
      <x:c r="G48" s="525" t="str">
        <x:v>03 · Varroas, virus et effondrement</x:v>
      </x:c>
      <x:c r="H48" s="525" t="str">
        <x:v>03 · Varroas, virus et effondrement</x:v>
      </x:c>
      <x:c r="I48" s="525" t="str">
        <x:v>03 · Varroas, virus et effondrement</x:v>
      </x:c>
      <x:c r="J48" s="525" t="str">
        <x:v>03 · Varroas, virus et effondrement</x:v>
      </x:c>
      <x:c r="K48" s="525" t="str">
        <x:v>03 · Varroas, virus et effondrement</x:v>
      </x:c>
      <x:c r="L48" s="525" t="str">
        <x:v>03 · Varroas, virus et effondrement</x:v>
      </x:c>
      <x:c r="M48" s="525" t="str">
        <x:v>03 · Varroas, virus et effondrement</x:v>
      </x:c>
      <x:c r="N48" s="525" t="str">
        <x:v>03 · Varroas, virus et effondrement</x:v>
      </x:c>
    </x:row>
    <x:row r="49" ht="18" customHeight="1">
      <x:c r="A49" s="498"/>
      <x:c r="B49" s="520" t="str">
        <x:v>Modèle principal — images PNG et SVG de la même illustration (images 4 et 5)</x:v>
      </x:c>
      <x:c r="C49" s="520" t="str">
        <x:v>Modèle principal — images PNG et SVG de la même illustration (images 4 et 5)</x:v>
      </x:c>
      <x:c r="D49" s="520" t="str">
        <x:v>Modèle principal — images PNG et SVG de la même illustration (images 4 et 5)</x:v>
      </x:c>
      <x:c r="E49" s="520" t="str">
        <x:v>Modèle principal — images PNG et SVG de la même illustration (images 4 et 5)</x:v>
      </x:c>
      <x:c r="F49" s="520" t="str">
        <x:v>Modèle principal — images PNG et SVG de la même illustration (images 4 et 5)</x:v>
      </x:c>
      <x:c r="G49" s="520" t="str">
        <x:v>Modèle principal — images PNG et SVG de la même illustration (images 4 et 5)</x:v>
      </x:c>
      <x:c r="H49" s="520" t="str">
        <x:v>Modèle principal — images PNG et SVG de la même illustration (images 4 et 5)</x:v>
      </x:c>
      <x:c r="I49" s="520" t="str">
        <x:v>Modèle principal — images PNG et SVG de la même illustration (images 4 et 5)</x:v>
      </x:c>
      <x:c r="J49" s="520" t="str">
        <x:v>Modèle principal — images PNG et SVG de la même illustration (images 4 et 5)</x:v>
      </x:c>
      <x:c r="K49" s="520" t="str">
        <x:v>Modèle principal — images PNG et SVG de la même illustration (images 4 et 5)</x:v>
      </x:c>
      <x:c r="L49" s="520" t="str">
        <x:v>Modèle principal — images PNG et SVG de la même illustration (images 4 et 5)</x:v>
      </x:c>
      <x:c r="M49" s="520" t="str">
        <x:v>Modèle principal — images PNG et SVG de la même illustration (images 4 et 5)</x:v>
      </x:c>
      <x:c r="N49" s="520" t="str">
        <x:v>Modèle principal — images PNG et SVG de la même illustration (images 4 et 5)</x:v>
      </x:c>
    </x:row>
    <x:row r="50" ht="18" customHeight="1">
      <x:c r="A50" s="498"/>
      <x:c r="B50" s="498"/>
      <x:c r="C50" s="498"/>
      <x:c r="D50" s="498"/>
      <x:c r="E50" s="498"/>
      <x:c r="F50" s="498"/>
      <x:c r="G50" s="498"/>
      <x:c r="H50" s="498"/>
      <x:c r="I50" s="498"/>
      <x:c r="J50" s="498"/>
      <x:c r="K50" s="498"/>
      <x:c r="L50" s="498"/>
      <x:c r="M50" s="498"/>
      <x:c r="N50" s="498"/>
    </x:row>
    <x:row r="51" ht="18" customHeight="1">
      <x:c r="A51" s="498"/>
      <x:c r="B51" s="498"/>
      <x:c r="C51" s="498"/>
      <x:c r="D51" s="498"/>
      <x:c r="E51" s="498"/>
      <x:c r="F51" s="498"/>
      <x:c r="G51" s="498"/>
      <x:c r="H51" s="498"/>
      <x:c r="I51" s="508" t="str">
        <x:v>Gestion du varroa. Effets du varroa et du virus des ailes déformées (DWV) en fonction du comptage obtenu par lavage d’environ 120 mL d’abeilles (une demi-tasse rase dans l’original). Modèle de varroas de Randy — ScientificBeekeeping.com.</x:v>
      </x:c>
      <x:c r="J51" s="508" t="str">
        <x:v>Gestion du varroa. Effets du varroa et du virus des ailes déformées (DWV) en fonction du comptage obtenu par lavage d’environ 120 mL d’abeilles (une demi-tasse rase dans l’original). Modèle de varroas de Randy — ScientificBeekeeping.com.</x:v>
      </x:c>
      <x:c r="K51" s="508" t="str">
        <x:v>Gestion du varroa. Effets du varroa et du virus des ailes déformées (DWV) en fonction du comptage obtenu par lavage d’environ 120 mL d’abeilles (une demi-tasse rase dans l’original). Modèle de varroas de Randy — ScientificBeekeeping.com.</x:v>
      </x:c>
      <x:c r="L51" s="508" t="str">
        <x:v>Gestion du varroa. Effets du varroa et du virus des ailes déformées (DWV) en fonction du comptage obtenu par lavage d’environ 120 mL d’abeilles (une demi-tasse rase dans l’original). Modèle de varroas de Randy — ScientificBeekeeping.com.</x:v>
      </x:c>
      <x:c r="M51" s="508" t="str">
        <x:v>Gestion du varroa. Effets du varroa et du virus des ailes déformées (DWV) en fonction du comptage obtenu par lavage d’environ 120 mL d’abeilles (une demi-tasse rase dans l’original). Modèle de varroas de Randy — ScientificBeekeeping.com.</x:v>
      </x:c>
      <x:c r="N51" s="508" t="str">
        <x:v>Gestion du varroa. Effets du varroa et du virus des ailes déformées (DWV) en fonction du comptage obtenu par lavage d’environ 120 mL d’abeilles (une demi-tasse rase dans l’original). Modèle de varroas de Randy — ScientificBeekeeping.com.</x:v>
      </x:c>
    </x:row>
    <x:row r="52" ht="18" customHeight="1">
      <x:c r="A52" s="498"/>
      <x:c r="B52" s="498"/>
      <x:c r="C52" s="498"/>
      <x:c r="D52" s="498"/>
      <x:c r="E52" s="498"/>
      <x:c r="F52" s="498"/>
      <x:c r="G52" s="498"/>
      <x:c r="H52" s="498"/>
      <x:c r="I52" s="508" t="str">
        <x:v>Gestion du varroa. Effets du varroa et du virus des ailes déformées (DWV) en fonction du comptage obtenu par lavage d’environ 120 mL d’abeilles (une demi-tasse rase dans l’original). Modèle de varroas de Randy — ScientificBeekeeping.com.</x:v>
      </x:c>
      <x:c r="J52" s="508" t="str">
        <x:v>Gestion du varroa. Effets du varroa et du virus des ailes déformées (DWV) en fonction du comptage obtenu par lavage d’environ 120 mL d’abeilles (une demi-tasse rase dans l’original). Modèle de varroas de Randy — ScientificBeekeeping.com.</x:v>
      </x:c>
      <x:c r="K52" s="508" t="str">
        <x:v>Gestion du varroa. Effets du varroa et du virus des ailes déformées (DWV) en fonction du comptage obtenu par lavage d’environ 120 mL d’abeilles (une demi-tasse rase dans l’original). Modèle de varroas de Randy — ScientificBeekeeping.com.</x:v>
      </x:c>
      <x:c r="L52" s="508" t="str">
        <x:v>Gestion du varroa. Effets du varroa et du virus des ailes déformées (DWV) en fonction du comptage obtenu par lavage d’environ 120 mL d’abeilles (une demi-tasse rase dans l’original). Modèle de varroas de Randy — ScientificBeekeeping.com.</x:v>
      </x:c>
      <x:c r="M52" s="508" t="str">
        <x:v>Gestion du varroa. Effets du varroa et du virus des ailes déformées (DWV) en fonction du comptage obtenu par lavage d’environ 120 mL d’abeilles (une demi-tasse rase dans l’original). Modèle de varroas de Randy — ScientificBeekeeping.com.</x:v>
      </x:c>
      <x:c r="N52" s="508" t="str">
        <x:v>Gestion du varroa. Effets du varroa et du virus des ailes déformées (DWV) en fonction du comptage obtenu par lavage d’environ 120 mL d’abeilles (une demi-tasse rase dans l’original). Modèle de varroas de Randy — ScientificBeekeeping.com.</x:v>
      </x:c>
    </x:row>
    <x:row r="53" ht="18" customHeight="1">
      <x:c r="A53" s="498"/>
      <x:c r="B53" s="498"/>
      <x:c r="C53" s="498"/>
      <x:c r="D53" s="498"/>
      <x:c r="E53" s="498"/>
      <x:c r="F53" s="498"/>
      <x:c r="G53" s="498"/>
      <x:c r="H53" s="498"/>
      <x:c r="I53" s="508" t="str">
        <x:v>Gestion du varroa. Effets du varroa et du virus des ailes déformées (DWV) en fonction du comptage obtenu par lavage d’environ 120 mL d’abeilles (une demi-tasse rase dans l’original). Modèle de varroas de Randy — ScientificBeekeeping.com.</x:v>
      </x:c>
      <x:c r="J53" s="508" t="str">
        <x:v>Gestion du varroa. Effets du varroa et du virus des ailes déformées (DWV) en fonction du comptage obtenu par lavage d’environ 120 mL d’abeilles (une demi-tasse rase dans l’original). Modèle de varroas de Randy — ScientificBeekeeping.com.</x:v>
      </x:c>
      <x:c r="K53" s="508" t="str">
        <x:v>Gestion du varroa. Effets du varroa et du virus des ailes déformées (DWV) en fonction du comptage obtenu par lavage d’environ 120 mL d’abeilles (une demi-tasse rase dans l’original). Modèle de varroas de Randy — ScientificBeekeeping.com.</x:v>
      </x:c>
      <x:c r="L53" s="508" t="str">
        <x:v>Gestion du varroa. Effets du varroa et du virus des ailes déformées (DWV) en fonction du comptage obtenu par lavage d’environ 120 mL d’abeilles (une demi-tasse rase dans l’original). Modèle de varroas de Randy — ScientificBeekeeping.com.</x:v>
      </x:c>
      <x:c r="M53" s="508" t="str">
        <x:v>Gestion du varroa. Effets du varroa et du virus des ailes déformées (DWV) en fonction du comptage obtenu par lavage d’environ 120 mL d’abeilles (une demi-tasse rase dans l’original). Modèle de varroas de Randy — ScientificBeekeeping.com.</x:v>
      </x:c>
      <x:c r="N53" s="508" t="str">
        <x:v>Gestion du varroa. Effets du varroa et du virus des ailes déformées (DWV) en fonction du comptage obtenu par lavage d’environ 120 mL d’abeilles (une demi-tasse rase dans l’original). Modèle de varroas de Randy — ScientificBeekeeping.com.</x:v>
      </x:c>
    </x:row>
    <x:row r="54" ht="18" customHeight="1">
      <x:c r="A54" s="498"/>
      <x:c r="B54" s="498"/>
      <x:c r="C54" s="498"/>
      <x:c r="D54" s="498"/>
      <x:c r="E54" s="498"/>
      <x:c r="F54" s="498"/>
      <x:c r="G54" s="498"/>
      <x:c r="H54" s="498"/>
      <x:c r="I54" s="508" t="str">
        <x:v>Gestion du varroa. Effets du varroa et du virus des ailes déformées (DWV) en fonction du comptage obtenu par lavage d’environ 120 mL d’abeilles (une demi-tasse rase dans l’original). Modèle de varroas de Randy — ScientificBeekeeping.com.</x:v>
      </x:c>
      <x:c r="J54" s="508" t="str">
        <x:v>Gestion du varroa. Effets du varroa et du virus des ailes déformées (DWV) en fonction du comptage obtenu par lavage d’environ 120 mL d’abeilles (une demi-tasse rase dans l’original). Modèle de varroas de Randy — ScientificBeekeeping.com.</x:v>
      </x:c>
      <x:c r="K54" s="508" t="str">
        <x:v>Gestion du varroa. Effets du varroa et du virus des ailes déformées (DWV) en fonction du comptage obtenu par lavage d’environ 120 mL d’abeilles (une demi-tasse rase dans l’original). Modèle de varroas de Randy — ScientificBeekeeping.com.</x:v>
      </x:c>
      <x:c r="L54" s="508" t="str">
        <x:v>Gestion du varroa. Effets du varroa et du virus des ailes déformées (DWV) en fonction du comptage obtenu par lavage d’environ 120 mL d’abeilles (une demi-tasse rase dans l’original). Modèle de varroas de Randy — ScientificBeekeeping.com.</x:v>
      </x:c>
      <x:c r="M54" s="508" t="str">
        <x:v>Gestion du varroa. Effets du varroa et du virus des ailes déformées (DWV) en fonction du comptage obtenu par lavage d’environ 120 mL d’abeilles (une demi-tasse rase dans l’original). Modèle de varroas de Randy — ScientificBeekeeping.com.</x:v>
      </x:c>
      <x:c r="N54" s="508" t="str">
        <x:v>Gestion du varroa. Effets du varroa et du virus des ailes déformées (DWV) en fonction du comptage obtenu par lavage d’environ 120 mL d’abeilles (une demi-tasse rase dans l’original). Modèle de varroas de Randy — ScientificBeekeeping.com.</x:v>
      </x:c>
    </x:row>
    <x:row r="55" ht="18" customHeight="1">
      <x:c r="A55" s="498"/>
      <x:c r="B55" s="498"/>
      <x:c r="C55" s="498"/>
      <x:c r="D55" s="498"/>
      <x:c r="E55" s="498"/>
      <x:c r="F55" s="498"/>
      <x:c r="G55" s="498"/>
      <x:c r="H55" s="498"/>
      <x:c r="I55" s="508" t="str">
        <x:v>Gestion du varroa. Effets du varroa et du virus des ailes déformées (DWV) en fonction du comptage obtenu par lavage d’environ 120 mL d’abeilles (une demi-tasse rase dans l’original). Modèle de varroas de Randy — ScientificBeekeeping.com.</x:v>
      </x:c>
      <x:c r="J55" s="508" t="str">
        <x:v>Gestion du varroa. Effets du varroa et du virus des ailes déformées (DWV) en fonction du comptage obtenu par lavage d’environ 120 mL d’abeilles (une demi-tasse rase dans l’original). Modèle de varroas de Randy — ScientificBeekeeping.com.</x:v>
      </x:c>
      <x:c r="K55" s="508" t="str">
        <x:v>Gestion du varroa. Effets du varroa et du virus des ailes déformées (DWV) en fonction du comptage obtenu par lavage d’environ 120 mL d’abeilles (une demi-tasse rase dans l’original). Modèle de varroas de Randy — ScientificBeekeeping.com.</x:v>
      </x:c>
      <x:c r="L55" s="508" t="str">
        <x:v>Gestion du varroa. Effets du varroa et du virus des ailes déformées (DWV) en fonction du comptage obtenu par lavage d’environ 120 mL d’abeilles (une demi-tasse rase dans l’original). Modèle de varroas de Randy — ScientificBeekeeping.com.</x:v>
      </x:c>
      <x:c r="M55" s="508" t="str">
        <x:v>Gestion du varroa. Effets du varroa et du virus des ailes déformées (DWV) en fonction du comptage obtenu par lavage d’environ 120 mL d’abeilles (une demi-tasse rase dans l’original). Modèle de varroas de Randy — ScientificBeekeeping.com.</x:v>
      </x:c>
      <x:c r="N55" s="508" t="str">
        <x:v>Gestion du varroa. Effets du varroa et du virus des ailes déformées (DWV) en fonction du comptage obtenu par lavage d’environ 120 mL d’abeilles (une demi-tasse rase dans l’original). Modèle de varroas de Randy — ScientificBeekeeping.com.</x:v>
      </x:c>
    </x:row>
    <x:row r="56" ht="18" customHeight="1">
      <x:c r="A56" s="498"/>
      <x:c r="B56" s="498"/>
      <x:c r="C56" s="498"/>
      <x:c r="D56" s="498"/>
      <x:c r="E56" s="498"/>
      <x:c r="F56" s="498"/>
      <x:c r="G56" s="498"/>
      <x:c r="H56" s="498"/>
      <x:c r="I56" s="498"/>
      <x:c r="J56" s="498"/>
      <x:c r="K56" s="498"/>
      <x:c r="L56" s="498"/>
      <x:c r="M56" s="498"/>
      <x:c r="N56" s="498"/>
    </x:row>
    <x:row r="57" ht="18" customHeight="1">
      <x:c r="A57" s="498"/>
      <x:c r="B57" s="498"/>
      <x:c r="C57" s="498"/>
      <x:c r="D57" s="498"/>
      <x:c r="E57" s="498"/>
      <x:c r="F57" s="498"/>
      <x:c r="G57" s="498"/>
      <x:c r="H57" s="498"/>
      <x:c r="I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J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K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L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M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N57"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row>
    <x:row r="58" ht="18" customHeight="1">
      <x:c r="A58" s="498"/>
      <x:c r="B58" s="498"/>
      <x:c r="C58" s="498"/>
      <x:c r="D58" s="498"/>
      <x:c r="E58" s="498"/>
      <x:c r="F58" s="498"/>
      <x:c r="G58" s="498"/>
      <x:c r="H58" s="498"/>
      <x:c r="I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J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K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L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M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N58"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row>
    <x:row r="59" ht="18" customHeight="1">
      <x:c r="A59" s="498"/>
      <x:c r="B59" s="498"/>
      <x:c r="C59" s="498"/>
      <x:c r="D59" s="498"/>
      <x:c r="E59" s="498"/>
      <x:c r="F59" s="498"/>
      <x:c r="G59" s="498"/>
      <x:c r="H59" s="498"/>
      <x:c r="I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J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K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L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M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N59"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row>
    <x:row r="60" ht="18" customHeight="1">
      <x:c r="A60" s="498"/>
      <x:c r="B60" s="498"/>
      <x:c r="C60" s="498"/>
      <x:c r="D60" s="498"/>
      <x:c r="E60" s="498"/>
      <x:c r="F60" s="498"/>
      <x:c r="G60" s="498"/>
      <x:c r="H60" s="498"/>
      <x:c r="I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J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K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L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M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N60"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row>
    <x:row r="61" ht="18" customHeight="1">
      <x:c r="A61" s="498"/>
      <x:c r="B61" s="498"/>
      <x:c r="C61" s="498"/>
      <x:c r="D61" s="498"/>
      <x:c r="E61" s="498"/>
      <x:c r="F61" s="498"/>
      <x:c r="G61" s="498"/>
      <x:c r="H61" s="498"/>
      <x:c r="I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J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K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L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M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c r="N61" s="508" t="str">
        <x:v>Axe gauche : nombre d’abeilles, de varroas ou de cellules de couvain. Axe droit : nombre de varroas dans le prélèvement d’abeilles. Légende : population d’abeilles adultes ; nombre total de nymphes ; nymphes parasitées ; total de varroas ; lavage à l’alcool ; traitement et efficacité.</x:v>
      </x:c>
    </x:row>
    <x:row r="62" ht="18" customHeight="1">
      <x:c r="A62" s="498"/>
      <x:c r="B62" s="498"/>
      <x:c r="C62" s="498"/>
      <x:c r="D62" s="498"/>
      <x:c r="E62" s="498"/>
      <x:c r="F62" s="498"/>
      <x:c r="G62" s="498"/>
      <x:c r="H62" s="498"/>
      <x:c r="I62" s="498"/>
      <x:c r="J62" s="498"/>
      <x:c r="K62" s="498"/>
      <x:c r="L62" s="498"/>
      <x:c r="M62" s="498"/>
      <x:c r="N62" s="498"/>
    </x:row>
    <x:row r="63" ht="18" customHeight="1">
      <x:c r="A63" s="498"/>
      <x:c r="B63" s="498"/>
      <x:c r="C63" s="498"/>
      <x:c r="D63" s="498"/>
      <x:c r="E63" s="498"/>
      <x:c r="F63" s="498"/>
      <x:c r="G63" s="498"/>
      <x:c r="H63" s="498"/>
      <x:c r="I63" s="508" t="str">
        <x:v>Encadrés de l’auteur : moins de 6 varroas — peu d’effet ; 15 à 20 varroas — le développement et les performances de la colonie sont affectés ; 25 à 50 varroas — le DWV s’installe ; plus de 60 varroas — effondrement de la colonie. CRASH : EFFONDREMENT.</x:v>
      </x:c>
      <x:c r="J63" s="508" t="str">
        <x:v>Encadrés de l’auteur : moins de 6 varroas — peu d’effet ; 15 à 20 varroas — le développement et les performances de la colonie sont affectés ; 25 à 50 varroas — le DWV s’installe ; plus de 60 varroas — effondrement de la colonie. CRASH : EFFONDREMENT.</x:v>
      </x:c>
      <x:c r="K63" s="508" t="str">
        <x:v>Encadrés de l’auteur : moins de 6 varroas — peu d’effet ; 15 à 20 varroas — le développement et les performances de la colonie sont affectés ; 25 à 50 varroas — le DWV s’installe ; plus de 60 varroas — effondrement de la colonie. CRASH : EFFONDREMENT.</x:v>
      </x:c>
      <x:c r="L63" s="508" t="str">
        <x:v>Encadrés de l’auteur : moins de 6 varroas — peu d’effet ; 15 à 20 varroas — le développement et les performances de la colonie sont affectés ; 25 à 50 varroas — le DWV s’installe ; plus de 60 varroas — effondrement de la colonie. CRASH : EFFONDREMENT.</x:v>
      </x:c>
      <x:c r="M63" s="508" t="str">
        <x:v>Encadrés de l’auteur : moins de 6 varroas — peu d’effet ; 15 à 20 varroas — le développement et les performances de la colonie sont affectés ; 25 à 50 varroas — le DWV s’installe ; plus de 60 varroas — effondrement de la colonie. CRASH : EFFONDREMENT.</x:v>
      </x:c>
      <x:c r="N63" s="508" t="str">
        <x:v>Encadrés de l’auteur : moins de 6 varroas — peu d’effet ; 15 à 20 varroas — le développement et les performances de la colonie sont affectés ; 25 à 50 varroas — le DWV s’installe ; plus de 60 varroas — effondrement de la colonie. CRASH : EFFONDREMENT.</x:v>
      </x:c>
    </x:row>
    <x:row r="64" ht="18" customHeight="1">
      <x:c r="A64" s="498"/>
      <x:c r="B64" s="498"/>
      <x:c r="C64" s="498"/>
      <x:c r="D64" s="498"/>
      <x:c r="E64" s="498"/>
      <x:c r="F64" s="498"/>
      <x:c r="G64" s="498"/>
      <x:c r="H64" s="498"/>
      <x:c r="I64" s="508" t="str">
        <x:v>Encadrés de l’auteur : moins de 6 varroas — peu d’effet ; 15 à 20 varroas — le développement et les performances de la colonie sont affectés ; 25 à 50 varroas — le DWV s’installe ; plus de 60 varroas — effondrement de la colonie. CRASH : EFFONDREMENT.</x:v>
      </x:c>
      <x:c r="J64" s="508" t="str">
        <x:v>Encadrés de l’auteur : moins de 6 varroas — peu d’effet ; 15 à 20 varroas — le développement et les performances de la colonie sont affectés ; 25 à 50 varroas — le DWV s’installe ; plus de 60 varroas — effondrement de la colonie. CRASH : EFFONDREMENT.</x:v>
      </x:c>
      <x:c r="K64" s="508" t="str">
        <x:v>Encadrés de l’auteur : moins de 6 varroas — peu d’effet ; 15 à 20 varroas — le développement et les performances de la colonie sont affectés ; 25 à 50 varroas — le DWV s’installe ; plus de 60 varroas — effondrement de la colonie. CRASH : EFFONDREMENT.</x:v>
      </x:c>
      <x:c r="L64" s="508" t="str">
        <x:v>Encadrés de l’auteur : moins de 6 varroas — peu d’effet ; 15 à 20 varroas — le développement et les performances de la colonie sont affectés ; 25 à 50 varroas — le DWV s’installe ; plus de 60 varroas — effondrement de la colonie. CRASH : EFFONDREMENT.</x:v>
      </x:c>
      <x:c r="M64" s="508" t="str">
        <x:v>Encadrés de l’auteur : moins de 6 varroas — peu d’effet ; 15 à 20 varroas — le développement et les performances de la colonie sont affectés ; 25 à 50 varroas — le DWV s’installe ; plus de 60 varroas — effondrement de la colonie. CRASH : EFFONDREMENT.</x:v>
      </x:c>
      <x:c r="N64" s="508" t="str">
        <x:v>Encadrés de l’auteur : moins de 6 varroas — peu d’effet ; 15 à 20 varroas — le développement et les performances de la colonie sont affectés ; 25 à 50 varroas — le DWV s’installe ; plus de 60 varroas — effondrement de la colonie. CRASH : EFFONDREMENT.</x:v>
      </x:c>
    </x:row>
    <x:row r="65" ht="18" customHeight="1">
      <x:c r="A65" s="498"/>
      <x:c r="B65" s="498"/>
      <x:c r="C65" s="498"/>
      <x:c r="D65" s="498"/>
      <x:c r="E65" s="498"/>
      <x:c r="F65" s="498"/>
      <x:c r="G65" s="498"/>
      <x:c r="H65" s="498"/>
      <x:c r="I65" s="508" t="str">
        <x:v>Encadrés de l’auteur : moins de 6 varroas — peu d’effet ; 15 à 20 varroas — le développement et les performances de la colonie sont affectés ; 25 à 50 varroas — le DWV s’installe ; plus de 60 varroas — effondrement de la colonie. CRASH : EFFONDREMENT.</x:v>
      </x:c>
      <x:c r="J65" s="508" t="str">
        <x:v>Encadrés de l’auteur : moins de 6 varroas — peu d’effet ; 15 à 20 varroas — le développement et les performances de la colonie sont affectés ; 25 à 50 varroas — le DWV s’installe ; plus de 60 varroas — effondrement de la colonie. CRASH : EFFONDREMENT.</x:v>
      </x:c>
      <x:c r="K65" s="508" t="str">
        <x:v>Encadrés de l’auteur : moins de 6 varroas — peu d’effet ; 15 à 20 varroas — le développement et les performances de la colonie sont affectés ; 25 à 50 varroas — le DWV s’installe ; plus de 60 varroas — effondrement de la colonie. CRASH : EFFONDREMENT.</x:v>
      </x:c>
      <x:c r="L65" s="508" t="str">
        <x:v>Encadrés de l’auteur : moins de 6 varroas — peu d’effet ; 15 à 20 varroas — le développement et les performances de la colonie sont affectés ; 25 à 50 varroas — le DWV s’installe ; plus de 60 varroas — effondrement de la colonie. CRASH : EFFONDREMENT.</x:v>
      </x:c>
      <x:c r="M65" s="508" t="str">
        <x:v>Encadrés de l’auteur : moins de 6 varroas — peu d’effet ; 15 à 20 varroas — le développement et les performances de la colonie sont affectés ; 25 à 50 varroas — le DWV s’installe ; plus de 60 varroas — effondrement de la colonie. CRASH : EFFONDREMENT.</x:v>
      </x:c>
      <x:c r="N65" s="508" t="str">
        <x:v>Encadrés de l’auteur : moins de 6 varroas — peu d’effet ; 15 à 20 varroas — le développement et les performances de la colonie sont affectés ; 25 à 50 varroas — le DWV s’installe ; plus de 60 varroas — effondrement de la colonie. CRASH : EFFONDREMENT.</x:v>
      </x:c>
    </x:row>
    <x:row r="66" ht="18" customHeight="1">
      <x:c r="A66" s="498"/>
      <x:c r="B66" s="498"/>
      <x:c r="C66" s="498"/>
      <x:c r="D66" s="498"/>
      <x:c r="E66" s="498"/>
      <x:c r="F66" s="498"/>
      <x:c r="G66" s="498"/>
      <x:c r="H66" s="498"/>
      <x:c r="I66" s="508" t="str">
        <x:v>Encadrés de l’auteur : moins de 6 varroas — peu d’effet ; 15 à 20 varroas — le développement et les performances de la colonie sont affectés ; 25 à 50 varroas — le DWV s’installe ; plus de 60 varroas — effondrement de la colonie. CRASH : EFFONDREMENT.</x:v>
      </x:c>
      <x:c r="J66" s="508" t="str">
        <x:v>Encadrés de l’auteur : moins de 6 varroas — peu d’effet ; 15 à 20 varroas — le développement et les performances de la colonie sont affectés ; 25 à 50 varroas — le DWV s’installe ; plus de 60 varroas — effondrement de la colonie. CRASH : EFFONDREMENT.</x:v>
      </x:c>
      <x:c r="K66" s="508" t="str">
        <x:v>Encadrés de l’auteur : moins de 6 varroas — peu d’effet ; 15 à 20 varroas — le développement et les performances de la colonie sont affectés ; 25 à 50 varroas — le DWV s’installe ; plus de 60 varroas — effondrement de la colonie. CRASH : EFFONDREMENT.</x:v>
      </x:c>
      <x:c r="L66" s="508" t="str">
        <x:v>Encadrés de l’auteur : moins de 6 varroas — peu d’effet ; 15 à 20 varroas — le développement et les performances de la colonie sont affectés ; 25 à 50 varroas — le DWV s’installe ; plus de 60 varroas — effondrement de la colonie. CRASH : EFFONDREMENT.</x:v>
      </x:c>
      <x:c r="M66" s="508" t="str">
        <x:v>Encadrés de l’auteur : moins de 6 varroas — peu d’effet ; 15 à 20 varroas — le développement et les performances de la colonie sont affectés ; 25 à 50 varroas — le DWV s’installe ; plus de 60 varroas — effondrement de la colonie. CRASH : EFFONDREMENT.</x:v>
      </x:c>
      <x:c r="N66" s="508" t="str">
        <x:v>Encadrés de l’auteur : moins de 6 varroas — peu d’effet ; 15 à 20 varroas — le développement et les performances de la colonie sont affectés ; 25 à 50 varroas — le DWV s’installe ; plus de 60 varroas — effondrement de la colonie. CRASH : EFFONDREMENT.</x:v>
      </x:c>
    </x:row>
    <x:row r="67" ht="18" customHeight="1">
      <x:c r="A67" s="498"/>
      <x:c r="B67" s="498"/>
      <x:c r="C67" s="498"/>
      <x:c r="D67" s="498"/>
      <x:c r="E67" s="498"/>
      <x:c r="F67" s="498"/>
      <x:c r="G67" s="498"/>
      <x:c r="H67" s="498"/>
      <x:c r="I67" s="498"/>
      <x:c r="J67" s="498"/>
      <x:c r="K67" s="498"/>
      <x:c r="L67" s="498"/>
      <x:c r="M67" s="498"/>
      <x:c r="N67" s="498"/>
    </x:row>
    <x:row r="68" ht="18" customHeight="1">
      <x:c r="A68" s="498"/>
      <x:c r="B68" s="498"/>
      <x:c r="C68" s="498"/>
      <x:c r="D68" s="498"/>
      <x:c r="E68" s="498"/>
      <x:c r="F68" s="498"/>
      <x:c r="G68" s="498"/>
      <x:c r="H68" s="498"/>
      <x:c r="I68" s="508" t="str">
        <x:v>Repères mensuels : 1er janvier, 1er février, 1er mars, 1er avril, 1er mai, 1er juin, 1er juillet, 1er août, 1er septembre, 1er octobre, 1er novembre, 1er décembre. Varroas au départ : 50. Varroas à la fin : 0.</x:v>
      </x:c>
      <x:c r="J68" s="508" t="str">
        <x:v>Repères mensuels : 1er janvier, 1er février, 1er mars, 1er avril, 1er mai, 1er juin, 1er juillet, 1er août, 1er septembre, 1er octobre, 1er novembre, 1er décembre. Varroas au départ : 50. Varroas à la fin : 0.</x:v>
      </x:c>
      <x:c r="K68" s="508" t="str">
        <x:v>Repères mensuels : 1er janvier, 1er février, 1er mars, 1er avril, 1er mai, 1er juin, 1er juillet, 1er août, 1er septembre, 1er octobre, 1er novembre, 1er décembre. Varroas au départ : 50. Varroas à la fin : 0.</x:v>
      </x:c>
      <x:c r="L68" s="508" t="str">
        <x:v>Repères mensuels : 1er janvier, 1er février, 1er mars, 1er avril, 1er mai, 1er juin, 1er juillet, 1er août, 1er septembre, 1er octobre, 1er novembre, 1er décembre. Varroas au départ : 50. Varroas à la fin : 0.</x:v>
      </x:c>
      <x:c r="M68" s="508" t="str">
        <x:v>Repères mensuels : 1er janvier, 1er février, 1er mars, 1er avril, 1er mai, 1er juin, 1er juillet, 1er août, 1er septembre, 1er octobre, 1er novembre, 1er décembre. Varroas au départ : 50. Varroas à la fin : 0.</x:v>
      </x:c>
      <x:c r="N68" s="508" t="str">
        <x:v>Repères mensuels : 1er janvier, 1er février, 1er mars, 1er avril, 1er mai, 1er juin, 1er juillet, 1er août, 1er septembre, 1er octobre, 1er novembre, 1er décembre. Varroas au départ : 50. Varroas à la fin : 0.</x:v>
      </x:c>
    </x:row>
    <x:row r="69" ht="18" customHeight="1">
      <x:c r="A69" s="498"/>
      <x:c r="B69" s="498"/>
      <x:c r="C69" s="498"/>
      <x:c r="D69" s="498"/>
      <x:c r="E69" s="498"/>
      <x:c r="F69" s="498"/>
      <x:c r="G69" s="498"/>
      <x:c r="H69" s="498"/>
      <x:c r="I69" s="508" t="str">
        <x:v>Repères mensuels : 1er janvier, 1er février, 1er mars, 1er avril, 1er mai, 1er juin, 1er juillet, 1er août, 1er septembre, 1er octobre, 1er novembre, 1er décembre. Varroas au départ : 50. Varroas à la fin : 0.</x:v>
      </x:c>
      <x:c r="J69" s="508" t="str">
        <x:v>Repères mensuels : 1er janvier, 1er février, 1er mars, 1er avril, 1er mai, 1er juin, 1er juillet, 1er août, 1er septembre, 1er octobre, 1er novembre, 1er décembre. Varroas au départ : 50. Varroas à la fin : 0.</x:v>
      </x:c>
      <x:c r="K69" s="508" t="str">
        <x:v>Repères mensuels : 1er janvier, 1er février, 1er mars, 1er avril, 1er mai, 1er juin, 1er juillet, 1er août, 1er septembre, 1er octobre, 1er novembre, 1er décembre. Varroas au départ : 50. Varroas à la fin : 0.</x:v>
      </x:c>
      <x:c r="L69" s="508" t="str">
        <x:v>Repères mensuels : 1er janvier, 1er février, 1er mars, 1er avril, 1er mai, 1er juin, 1er juillet, 1er août, 1er septembre, 1er octobre, 1er novembre, 1er décembre. Varroas au départ : 50. Varroas à la fin : 0.</x:v>
      </x:c>
      <x:c r="M69" s="508" t="str">
        <x:v>Repères mensuels : 1er janvier, 1er février, 1er mars, 1er avril, 1er mai, 1er juin, 1er juillet, 1er août, 1er septembre, 1er octobre, 1er novembre, 1er décembre. Varroas au départ : 50. Varroas à la fin : 0.</x:v>
      </x:c>
      <x:c r="N69" s="508" t="str">
        <x:v>Repères mensuels : 1er janvier, 1er février, 1er mars, 1er avril, 1er mai, 1er juin, 1er juillet, 1er août, 1er septembre, 1er octobre, 1er novembre, 1er décembre. Varroas au départ : 50. Varroas à la fin : 0.</x:v>
      </x:c>
    </x:row>
    <x:row r="70" ht="18" customHeight="1">
      <x:c r="A70" s="498"/>
      <x:c r="B70" s="498"/>
      <x:c r="C70" s="498"/>
      <x:c r="D70" s="498"/>
      <x:c r="E70" s="498"/>
      <x:c r="F70" s="498"/>
      <x:c r="G70" s="498"/>
      <x:c r="H70" s="498"/>
      <x:c r="I70" s="508" t="str">
        <x:v>Repères mensuels : 1er janvier, 1er février, 1er mars, 1er avril, 1er mai, 1er juin, 1er juillet, 1er août, 1er septembre, 1er octobre, 1er novembre, 1er décembre. Varroas au départ : 50. Varroas à la fin : 0.</x:v>
      </x:c>
      <x:c r="J70" s="508" t="str">
        <x:v>Repères mensuels : 1er janvier, 1er février, 1er mars, 1er avril, 1er mai, 1er juin, 1er juillet, 1er août, 1er septembre, 1er octobre, 1er novembre, 1er décembre. Varroas au départ : 50. Varroas à la fin : 0.</x:v>
      </x:c>
      <x:c r="K70" s="508" t="str">
        <x:v>Repères mensuels : 1er janvier, 1er février, 1er mars, 1er avril, 1er mai, 1er juin, 1er juillet, 1er août, 1er septembre, 1er octobre, 1er novembre, 1er décembre. Varroas au départ : 50. Varroas à la fin : 0.</x:v>
      </x:c>
      <x:c r="L70" s="508" t="str">
        <x:v>Repères mensuels : 1er janvier, 1er février, 1er mars, 1er avril, 1er mai, 1er juin, 1er juillet, 1er août, 1er septembre, 1er octobre, 1er novembre, 1er décembre. Varroas au départ : 50. Varroas à la fin : 0.</x:v>
      </x:c>
      <x:c r="M70" s="508" t="str">
        <x:v>Repères mensuels : 1er janvier, 1er février, 1er mars, 1er avril, 1er mai, 1er juin, 1er juillet, 1er août, 1er septembre, 1er octobre, 1er novembre, 1er décembre. Varroas au départ : 50. Varroas à la fin : 0.</x:v>
      </x:c>
      <x:c r="N70" s="508" t="str">
        <x:v>Repères mensuels : 1er janvier, 1er février, 1er mars, 1er avril, 1er mai, 1er juin, 1er juillet, 1er août, 1er septembre, 1er octobre, 1er novembre, 1er décembre. Varroas au départ : 50. Varroas à la fin : 0.</x:v>
      </x:c>
    </x:row>
    <x:row r="71" ht="18" customHeight="1">
      <x:c r="A71" s="498"/>
      <x:c r="B71" s="498"/>
      <x:c r="C71" s="498"/>
      <x:c r="D71" s="498"/>
      <x:c r="E71" s="498"/>
      <x:c r="F71" s="498"/>
      <x:c r="G71" s="498"/>
      <x:c r="H71" s="498"/>
      <x:c r="I71" s="508" t="str">
        <x:v>Repères mensuels : 1er janvier, 1er février, 1er mars, 1er avril, 1er mai, 1er juin, 1er juillet, 1er août, 1er septembre, 1er octobre, 1er novembre, 1er décembre. Varroas au départ : 50. Varroas à la fin : 0.</x:v>
      </x:c>
      <x:c r="J71" s="508" t="str">
        <x:v>Repères mensuels : 1er janvier, 1er février, 1er mars, 1er avril, 1er mai, 1er juin, 1er juillet, 1er août, 1er septembre, 1er octobre, 1er novembre, 1er décembre. Varroas au départ : 50. Varroas à la fin : 0.</x:v>
      </x:c>
      <x:c r="K71" s="508" t="str">
        <x:v>Repères mensuels : 1er janvier, 1er février, 1er mars, 1er avril, 1er mai, 1er juin, 1er juillet, 1er août, 1er septembre, 1er octobre, 1er novembre, 1er décembre. Varroas au départ : 50. Varroas à la fin : 0.</x:v>
      </x:c>
      <x:c r="L71" s="508" t="str">
        <x:v>Repères mensuels : 1er janvier, 1er février, 1er mars, 1er avril, 1er mai, 1er juin, 1er juillet, 1er août, 1er septembre, 1er octobre, 1er novembre, 1er décembre. Varroas au départ : 50. Varroas à la fin : 0.</x:v>
      </x:c>
      <x:c r="M71" s="508" t="str">
        <x:v>Repères mensuels : 1er janvier, 1er février, 1er mars, 1er avril, 1er mai, 1er juin, 1er juillet, 1er août, 1er septembre, 1er octobre, 1er novembre, 1er décembre. Varroas au départ : 50. Varroas à la fin : 0.</x:v>
      </x:c>
      <x:c r="N71" s="508" t="str">
        <x:v>Repères mensuels : 1er janvier, 1er février, 1er mars, 1er avril, 1er mai, 1er juin, 1er juillet, 1er août, 1er septembre, 1er octobre, 1er novembre, 1er décembre. Varroas au départ : 50. Varroas à la fin : 0.</x:v>
      </x:c>
    </x:row>
    <x:row r="72" ht="18" customHeight="1">
      <x:c r="A72" s="498"/>
      <x:c r="B72" s="498"/>
      <x:c r="C72" s="498"/>
      <x:c r="D72" s="498"/>
      <x:c r="E72" s="498"/>
      <x:c r="F72" s="498"/>
      <x:c r="G72" s="498"/>
      <x:c r="H72" s="498"/>
      <x:c r="I72" s="498"/>
      <x:c r="J72" s="498"/>
      <x:c r="K72" s="498"/>
      <x:c r="L72" s="498"/>
      <x:c r="M72" s="498"/>
      <x:c r="N72" s="498"/>
    </x:row>
    <x:row r="73" ht="18" customHeight="1">
      <x:c r="A73" s="498"/>
      <x:c r="B73" s="498"/>
      <x:c r="C73" s="498"/>
      <x:c r="D73" s="498"/>
      <x:c r="E73" s="498"/>
      <x:c r="F73" s="498"/>
      <x:c r="G73" s="498"/>
      <x:c r="H73" s="498"/>
      <x:c r="I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J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K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L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M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N73"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row>
    <x:row r="74" ht="18" customHeight="1">
      <x:c r="A74" s="498"/>
      <x:c r="B74" s="498"/>
      <x:c r="C74" s="498"/>
      <x:c r="D74" s="498"/>
      <x:c r="E74" s="498"/>
      <x:c r="F74" s="498"/>
      <x:c r="G74" s="498"/>
      <x:c r="H74" s="498"/>
      <x:c r="I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J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K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L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M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N74"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row>
    <x:row r="75" ht="18" customHeight="1">
      <x:c r="A75" s="498"/>
      <x:c r="B75" s="498"/>
      <x:c r="C75" s="498"/>
      <x:c r="D75" s="498"/>
      <x:c r="E75" s="498"/>
      <x:c r="F75" s="498"/>
      <x:c r="G75" s="498"/>
      <x:c r="H75" s="498"/>
      <x:c r="I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J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K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L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M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N75"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row>
    <x:row r="76" ht="18" customHeight="1">
      <x:c r="A76" s="498"/>
      <x:c r="B76" s="498"/>
      <x:c r="C76" s="498"/>
      <x:c r="D76" s="498"/>
      <x:c r="E76" s="498"/>
      <x:c r="F76" s="498"/>
      <x:c r="G76" s="498"/>
      <x:c r="H76" s="498"/>
      <x:c r="I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J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K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L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M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N76"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row>
    <x:row r="77" ht="18" customHeight="1">
      <x:c r="A77" s="498"/>
      <x:c r="B77" s="498"/>
      <x:c r="C77" s="498"/>
      <x:c r="D77" s="498"/>
      <x:c r="E77" s="498"/>
      <x:c r="F77" s="498"/>
      <x:c r="G77" s="498"/>
      <x:c r="H77" s="498"/>
      <x:c r="I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J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K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L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M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c r="N77" s="508" t="str">
        <x:v>D : colonie par défaut en climat tempéré, conduite pour éviter l’essaimage, avec une légère reprise de couvain à l’automne. Les nombres et les zéros après l’effondrement sont ceux de l’illustration originale ; ils ne décrivent pas une récupération de la colonie.</x:v>
      </x:c>
    </x:row>
    <x:row r="78" ht="18" customHeight="1">
      <x:c r="A78" s="498"/>
      <x:c r="B78" s="498"/>
      <x:c r="C78" s="498"/>
      <x:c r="D78" s="498"/>
      <x:c r="E78" s="498"/>
      <x:c r="F78" s="498"/>
      <x:c r="G78" s="498"/>
      <x:c r="H78" s="498"/>
      <x:c r="I78" s="498"/>
      <x:c r="J78" s="498"/>
      <x:c r="K78" s="498"/>
      <x:c r="L78" s="498"/>
      <x:c r="M78" s="498"/>
      <x:c r="N78" s="498"/>
    </x:row>
    <x:row r="79" ht="18" customHeight="1">
      <x:c r="A79" s="498"/>
      <x:c r="B79" s="498"/>
      <x:c r="C79" s="498"/>
      <x:c r="D79" s="498"/>
      <x:c r="E79" s="498"/>
      <x:c r="F79" s="498"/>
      <x:c r="G79" s="498"/>
      <x:c r="H79" s="498"/>
      <x:c r="I79" s="498"/>
      <x:c r="J79" s="498"/>
      <x:c r="K79" s="498"/>
      <x:c r="L79" s="498"/>
      <x:c r="M79" s="498"/>
      <x:c r="N79" s="498"/>
    </x:row>
    <x:row r="80" ht="18" customHeight="1">
      <x:c r="A80" s="498"/>
      <x:c r="B80" s="498"/>
      <x:c r="C80" s="498"/>
      <x:c r="D80" s="498"/>
      <x:c r="E80" s="498"/>
      <x:c r="F80" s="498"/>
      <x:c r="G80" s="498"/>
      <x:c r="H80" s="498"/>
      <x:c r="I80" s="498"/>
      <x:c r="J80" s="498"/>
      <x:c r="K80" s="498"/>
      <x:c r="L80" s="498"/>
      <x:c r="M80" s="498"/>
      <x:c r="N80" s="498"/>
    </x:row>
    <x:row r="81" ht="18" customHeight="1">
      <x:c r="A81" s="498"/>
      <x:c r="B81" s="525" t="str">
        <x:v>04 · Interventions selon la saison — modèle principal</x:v>
      </x:c>
      <x:c r="C81" s="525" t="str">
        <x:v>04 · Interventions selon la saison — modèle principal</x:v>
      </x:c>
      <x:c r="D81" s="525" t="str">
        <x:v>04 · Interventions selon la saison — modèle principal</x:v>
      </x:c>
      <x:c r="E81" s="525" t="str">
        <x:v>04 · Interventions selon la saison — modèle principal</x:v>
      </x:c>
      <x:c r="F81" s="525" t="str">
        <x:v>04 · Interventions selon la saison — modèle principal</x:v>
      </x:c>
      <x:c r="G81" s="525" t="str">
        <x:v>04 · Interventions selon la saison — modèle principal</x:v>
      </x:c>
      <x:c r="H81" s="525" t="str">
        <x:v>04 · Interventions selon la saison — modèle principal</x:v>
      </x:c>
      <x:c r="I81" s="525" t="str">
        <x:v>04 · Interventions selon la saison — modèle principal</x:v>
      </x:c>
      <x:c r="J81" s="525" t="str">
        <x:v>04 · Interventions selon la saison — modèle principal</x:v>
      </x:c>
      <x:c r="K81" s="525" t="str">
        <x:v>04 · Interventions selon la saison — modèle principal</x:v>
      </x:c>
      <x:c r="L81" s="525" t="str">
        <x:v>04 · Interventions selon la saison — modèle principal</x:v>
      </x:c>
      <x:c r="M81" s="525" t="str">
        <x:v>04 · Interventions selon la saison — modèle principal</x:v>
      </x:c>
      <x:c r="N81" s="525" t="str">
        <x:v>04 · Interventions selon la saison — modèle principal</x:v>
      </x:c>
    </x:row>
    <x:row r="82" ht="18" customHeight="1">
      <x:c r="A82" s="498"/>
      <x:c r="B82" s="525" t="str">
        <x:v>04 · Interventions selon la saison — modèle principal</x:v>
      </x:c>
      <x:c r="C82" s="525" t="str">
        <x:v>04 · Interventions selon la saison — modèle principal</x:v>
      </x:c>
      <x:c r="D82" s="525" t="str">
        <x:v>04 · Interventions selon la saison — modèle principal</x:v>
      </x:c>
      <x:c r="E82" s="525" t="str">
        <x:v>04 · Interventions selon la saison — modèle principal</x:v>
      </x:c>
      <x:c r="F82" s="525" t="str">
        <x:v>04 · Interventions selon la saison — modèle principal</x:v>
      </x:c>
      <x:c r="G82" s="525" t="str">
        <x:v>04 · Interventions selon la saison — modèle principal</x:v>
      </x:c>
      <x:c r="H82" s="525" t="str">
        <x:v>04 · Interventions selon la saison — modèle principal</x:v>
      </x:c>
      <x:c r="I82" s="525" t="str">
        <x:v>04 · Interventions selon la saison — modèle principal</x:v>
      </x:c>
      <x:c r="J82" s="525" t="str">
        <x:v>04 · Interventions selon la saison — modèle principal</x:v>
      </x:c>
      <x:c r="K82" s="525" t="str">
        <x:v>04 · Interventions selon la saison — modèle principal</x:v>
      </x:c>
      <x:c r="L82" s="525" t="str">
        <x:v>04 · Interventions selon la saison — modèle principal</x:v>
      </x:c>
      <x:c r="M82" s="525" t="str">
        <x:v>04 · Interventions selon la saison — modèle principal</x:v>
      </x:c>
      <x:c r="N82" s="525" t="str">
        <x:v>04 · Interventions selon la saison — modèle principal</x:v>
      </x:c>
    </x:row>
    <x:row r="83" ht="18" customHeight="1">
      <x:c r="A83" s="498"/>
      <x:c r="B83" s="520" t="str">
        <x:v>Modèle principal — image 6</x:v>
      </x:c>
      <x:c r="C83" s="520" t="str">
        <x:v>Modèle principal — image 6</x:v>
      </x:c>
      <x:c r="D83" s="520" t="str">
        <x:v>Modèle principal — image 6</x:v>
      </x:c>
      <x:c r="E83" s="520" t="str">
        <x:v>Modèle principal — image 6</x:v>
      </x:c>
      <x:c r="F83" s="520" t="str">
        <x:v>Modèle principal — image 6</x:v>
      </x:c>
      <x:c r="G83" s="520" t="str">
        <x:v>Modèle principal — image 6</x:v>
      </x:c>
      <x:c r="H83" s="520" t="str">
        <x:v>Modèle principal — image 6</x:v>
      </x:c>
      <x:c r="I83" s="520" t="str">
        <x:v>Modèle principal — image 6</x:v>
      </x:c>
      <x:c r="J83" s="520" t="str">
        <x:v>Modèle principal — image 6</x:v>
      </x:c>
      <x:c r="K83" s="520" t="str">
        <x:v>Modèle principal — image 6</x:v>
      </x:c>
      <x:c r="L83" s="520" t="str">
        <x:v>Modèle principal — image 6</x:v>
      </x:c>
      <x:c r="M83" s="520" t="str">
        <x:v>Modèle principal — image 6</x:v>
      </x:c>
      <x:c r="N83" s="520" t="str">
        <x:v>Modèle principal — image 6</x:v>
      </x:c>
    </x:row>
    <x:row r="84" ht="18" customHeight="1">
      <x:c r="A84" s="498"/>
      <x:c r="B84" s="498"/>
      <x:c r="C84" s="498"/>
      <x:c r="D84" s="498"/>
      <x:c r="E84" s="498"/>
      <x:c r="F84" s="498"/>
      <x:c r="G84" s="498"/>
      <x:c r="H84" s="498"/>
      <x:c r="I84" s="498"/>
      <x:c r="J84" s="498"/>
      <x:c r="K84" s="498"/>
      <x:c r="L84" s="498"/>
      <x:c r="M84" s="498"/>
      <x:c r="N84" s="498"/>
    </x:row>
    <x:row r="85" ht="18" customHeight="1">
      <x:c r="A85" s="498"/>
      <x:c r="B85" s="498"/>
      <x:c r="C85" s="498"/>
      <x:c r="D85" s="498"/>
      <x:c r="E85" s="498"/>
      <x:c r="F85" s="498"/>
      <x:c r="G85" s="498"/>
      <x:c r="H85" s="498"/>
      <x:c r="I85" s="508" t="str">
        <x:v>Traitements adaptés au moment de la saison. Ce modèle est un travail en cours : assurez-vous d’utiliser la version la plus récente ! © ScientificBeekeeping.</x:v>
      </x:c>
      <x:c r="J85" s="508" t="str">
        <x:v>Traitements adaptés au moment de la saison. Ce modèle est un travail en cours : assurez-vous d’utiliser la version la plus récente ! © ScientificBeekeeping.</x:v>
      </x:c>
      <x:c r="K85" s="508" t="str">
        <x:v>Traitements adaptés au moment de la saison. Ce modèle est un travail en cours : assurez-vous d’utiliser la version la plus récente ! © ScientificBeekeeping.</x:v>
      </x:c>
      <x:c r="L85" s="508" t="str">
        <x:v>Traitements adaptés au moment de la saison. Ce modèle est un travail en cours : assurez-vous d’utiliser la version la plus récente ! © ScientificBeekeeping.</x:v>
      </x:c>
      <x:c r="M85" s="508" t="str">
        <x:v>Traitements adaptés au moment de la saison. Ce modèle est un travail en cours : assurez-vous d’utiliser la version la plus récente ! © ScientificBeekeeping.</x:v>
      </x:c>
      <x:c r="N85" s="508" t="str">
        <x:v>Traitements adaptés au moment de la saison. Ce modèle est un travail en cours : assurez-vous d’utiliser la version la plus récente ! © ScientificBeekeeping.</x:v>
      </x:c>
    </x:row>
    <x:row r="86" ht="18" customHeight="1">
      <x:c r="A86" s="498"/>
      <x:c r="B86" s="498"/>
      <x:c r="C86" s="498"/>
      <x:c r="D86" s="498"/>
      <x:c r="E86" s="498"/>
      <x:c r="F86" s="498"/>
      <x:c r="G86" s="498"/>
      <x:c r="H86" s="498"/>
      <x:c r="I86" s="508" t="str">
        <x:v>Traitements adaptés au moment de la saison. Ce modèle est un travail en cours : assurez-vous d’utiliser la version la plus récente ! © ScientificBeekeeping.</x:v>
      </x:c>
      <x:c r="J86" s="508" t="str">
        <x:v>Traitements adaptés au moment de la saison. Ce modèle est un travail en cours : assurez-vous d’utiliser la version la plus récente ! © ScientificBeekeeping.</x:v>
      </x:c>
      <x:c r="K86" s="508" t="str">
        <x:v>Traitements adaptés au moment de la saison. Ce modèle est un travail en cours : assurez-vous d’utiliser la version la plus récente ! © ScientificBeekeeping.</x:v>
      </x:c>
      <x:c r="L86" s="508" t="str">
        <x:v>Traitements adaptés au moment de la saison. Ce modèle est un travail en cours : assurez-vous d’utiliser la version la plus récente ! © ScientificBeekeeping.</x:v>
      </x:c>
      <x:c r="M86" s="508" t="str">
        <x:v>Traitements adaptés au moment de la saison. Ce modèle est un travail en cours : assurez-vous d’utiliser la version la plus récente ! © ScientificBeekeeping.</x:v>
      </x:c>
      <x:c r="N86" s="508" t="str">
        <x:v>Traitements adaptés au moment de la saison. Ce modèle est un travail en cours : assurez-vous d’utiliser la version la plus récente ! © ScientificBeekeeping.</x:v>
      </x:c>
    </x:row>
    <x:row r="87" ht="18" customHeight="1">
      <x:c r="A87" s="498"/>
      <x:c r="B87" s="498"/>
      <x:c r="C87" s="498"/>
      <x:c r="D87" s="498"/>
      <x:c r="E87" s="498"/>
      <x:c r="F87" s="498"/>
      <x:c r="G87" s="498"/>
      <x:c r="H87" s="498"/>
      <x:c r="I87" s="508" t="str">
        <x:v>Traitements adaptés au moment de la saison. Ce modèle est un travail en cours : assurez-vous d’utiliser la version la plus récente ! © ScientificBeekeeping.</x:v>
      </x:c>
      <x:c r="J87" s="508" t="str">
        <x:v>Traitements adaptés au moment de la saison. Ce modèle est un travail en cours : assurez-vous d’utiliser la version la plus récente ! © ScientificBeekeeping.</x:v>
      </x:c>
      <x:c r="K87" s="508" t="str">
        <x:v>Traitements adaptés au moment de la saison. Ce modèle est un travail en cours : assurez-vous d’utiliser la version la plus récente ! © ScientificBeekeeping.</x:v>
      </x:c>
      <x:c r="L87" s="508" t="str">
        <x:v>Traitements adaptés au moment de la saison. Ce modèle est un travail en cours : assurez-vous d’utiliser la version la plus récente ! © ScientificBeekeeping.</x:v>
      </x:c>
      <x:c r="M87" s="508" t="str">
        <x:v>Traitements adaptés au moment de la saison. Ce modèle est un travail en cours : assurez-vous d’utiliser la version la plus récente ! © ScientificBeekeeping.</x:v>
      </x:c>
      <x:c r="N87" s="508" t="str">
        <x:v>Traitements adaptés au moment de la saison. Ce modèle est un travail en cours : assurez-vous d’utiliser la version la plus récente ! © ScientificBeekeeping.</x:v>
      </x:c>
    </x:row>
    <x:row r="88" ht="18" customHeight="1">
      <x:c r="A88" s="498"/>
      <x:c r="B88" s="498"/>
      <x:c r="C88" s="498"/>
      <x:c r="D88" s="498"/>
      <x:c r="E88" s="498"/>
      <x:c r="F88" s="498"/>
      <x:c r="G88" s="498"/>
      <x:c r="H88" s="498"/>
      <x:c r="I88" s="508" t="str">
        <x:v>Traitements adaptés au moment de la saison. Ce modèle est un travail en cours : assurez-vous d’utiliser la version la plus récente ! © ScientificBeekeeping.</x:v>
      </x:c>
      <x:c r="J88" s="508" t="str">
        <x:v>Traitements adaptés au moment de la saison. Ce modèle est un travail en cours : assurez-vous d’utiliser la version la plus récente ! © ScientificBeekeeping.</x:v>
      </x:c>
      <x:c r="K88" s="508" t="str">
        <x:v>Traitements adaptés au moment de la saison. Ce modèle est un travail en cours : assurez-vous d’utiliser la version la plus récente ! © ScientificBeekeeping.</x:v>
      </x:c>
      <x:c r="L88" s="508" t="str">
        <x:v>Traitements adaptés au moment de la saison. Ce modèle est un travail en cours : assurez-vous d’utiliser la version la plus récente ! © ScientificBeekeeping.</x:v>
      </x:c>
      <x:c r="M88" s="508" t="str">
        <x:v>Traitements adaptés au moment de la saison. Ce modèle est un travail en cours : assurez-vous d’utiliser la version la plus récente ! © ScientificBeekeeping.</x:v>
      </x:c>
      <x:c r="N88" s="508" t="str">
        <x:v>Traitements adaptés au moment de la saison. Ce modèle est un travail en cours : assurez-vous d’utiliser la version la plus récente ! © ScientificBeekeeping.</x:v>
      </x:c>
    </x:row>
    <x:row r="89" ht="18" customHeight="1">
      <x:c r="A89" s="498"/>
      <x:c r="B89" s="498"/>
      <x:c r="C89" s="498"/>
      <x:c r="D89" s="498"/>
      <x:c r="E89" s="498"/>
      <x:c r="F89" s="498"/>
      <x:c r="G89" s="498"/>
      <x:c r="H89" s="498"/>
      <x:c r="I89" s="498"/>
      <x:c r="J89" s="498"/>
      <x:c r="K89" s="498"/>
      <x:c r="L89" s="498"/>
      <x:c r="M89" s="498"/>
      <x:c r="N89" s="498"/>
    </x:row>
    <x:row r="90" ht="18" customHeight="1">
      <x:c r="A90" s="498"/>
      <x:c r="B90" s="498"/>
      <x:c r="C90" s="498"/>
      <x:c r="D90" s="498"/>
      <x:c r="E90" s="498"/>
      <x:c r="F90" s="498"/>
      <x:c r="G90" s="498"/>
      <x:c r="H90" s="498"/>
      <x:c r="I90" s="508" t="str">
        <x:v>Légende : population d’abeilles adultes ; nombre total de nymphes ; nymphes parasitées ; total de varroas. Flèches bleues : traiter ; traiter ? (avec points d’interrogation dans l’original).</x:v>
      </x:c>
      <x:c r="J90" s="508" t="str">
        <x:v>Légende : population d’abeilles adultes ; nombre total de nymphes ; nymphes parasitées ; total de varroas. Flèches bleues : traiter ; traiter ? (avec points d’interrogation dans l’original).</x:v>
      </x:c>
      <x:c r="K90" s="508" t="str">
        <x:v>Légende : population d’abeilles adultes ; nombre total de nymphes ; nymphes parasitées ; total de varroas. Flèches bleues : traiter ; traiter ? (avec points d’interrogation dans l’original).</x:v>
      </x:c>
      <x:c r="L90" s="508" t="str">
        <x:v>Légende : population d’abeilles adultes ; nombre total de nymphes ; nymphes parasitées ; total de varroas. Flèches bleues : traiter ; traiter ? (avec points d’interrogation dans l’original).</x:v>
      </x:c>
      <x:c r="M90" s="508" t="str">
        <x:v>Légende : population d’abeilles adultes ; nombre total de nymphes ; nymphes parasitées ; total de varroas. Flèches bleues : traiter ; traiter ? (avec points d’interrogation dans l’original).</x:v>
      </x:c>
      <x:c r="N90" s="508" t="str">
        <x:v>Légende : population d’abeilles adultes ; nombre total de nymphes ; nymphes parasitées ; total de varroas. Flèches bleues : traiter ; traiter ? (avec points d’interrogation dans l’original).</x:v>
      </x:c>
    </x:row>
    <x:row r="91" ht="18" customHeight="1">
      <x:c r="A91" s="498"/>
      <x:c r="B91" s="498"/>
      <x:c r="C91" s="498"/>
      <x:c r="D91" s="498"/>
      <x:c r="E91" s="498"/>
      <x:c r="F91" s="498"/>
      <x:c r="G91" s="498"/>
      <x:c r="H91" s="498"/>
      <x:c r="I91" s="508" t="str">
        <x:v>Légende : population d’abeilles adultes ; nombre total de nymphes ; nymphes parasitées ; total de varroas. Flèches bleues : traiter ; traiter ? (avec points d’interrogation dans l’original).</x:v>
      </x:c>
      <x:c r="J91" s="508" t="str">
        <x:v>Légende : population d’abeilles adultes ; nombre total de nymphes ; nymphes parasitées ; total de varroas. Flèches bleues : traiter ; traiter ? (avec points d’interrogation dans l’original).</x:v>
      </x:c>
      <x:c r="K91" s="508" t="str">
        <x:v>Légende : population d’abeilles adultes ; nombre total de nymphes ; nymphes parasitées ; total de varroas. Flèches bleues : traiter ; traiter ? (avec points d’interrogation dans l’original).</x:v>
      </x:c>
      <x:c r="L91" s="508" t="str">
        <x:v>Légende : population d’abeilles adultes ; nombre total de nymphes ; nymphes parasitées ; total de varroas. Flèches bleues : traiter ; traiter ? (avec points d’interrogation dans l’original).</x:v>
      </x:c>
      <x:c r="M91" s="508" t="str">
        <x:v>Légende : population d’abeilles adultes ; nombre total de nymphes ; nymphes parasitées ; total de varroas. Flèches bleues : traiter ; traiter ? (avec points d’interrogation dans l’original).</x:v>
      </x:c>
      <x:c r="N91" s="508" t="str">
        <x:v>Légende : population d’abeilles adultes ; nombre total de nymphes ; nymphes parasitées ; total de varroas. Flèches bleues : traiter ; traiter ? (avec points d’interrogation dans l’original).</x:v>
      </x:c>
    </x:row>
    <x:row r="92" ht="18" customHeight="1">
      <x:c r="A92" s="498"/>
      <x:c r="B92" s="498"/>
      <x:c r="C92" s="498"/>
      <x:c r="D92" s="498"/>
      <x:c r="E92" s="498"/>
      <x:c r="F92" s="498"/>
      <x:c r="G92" s="498"/>
      <x:c r="H92" s="498"/>
      <x:c r="I92" s="508" t="str">
        <x:v>Légende : population d’abeilles adultes ; nombre total de nymphes ; nymphes parasitées ; total de varroas. Flèches bleues : traiter ; traiter ? (avec points d’interrogation dans l’original).</x:v>
      </x:c>
      <x:c r="J92" s="508" t="str">
        <x:v>Légende : population d’abeilles adultes ; nombre total de nymphes ; nymphes parasitées ; total de varroas. Flèches bleues : traiter ; traiter ? (avec points d’interrogation dans l’original).</x:v>
      </x:c>
      <x:c r="K92" s="508" t="str">
        <x:v>Légende : population d’abeilles adultes ; nombre total de nymphes ; nymphes parasitées ; total de varroas. Flèches bleues : traiter ; traiter ? (avec points d’interrogation dans l’original).</x:v>
      </x:c>
      <x:c r="L92" s="508" t="str">
        <x:v>Légende : population d’abeilles adultes ; nombre total de nymphes ; nymphes parasitées ; total de varroas. Flèches bleues : traiter ; traiter ? (avec points d’interrogation dans l’original).</x:v>
      </x:c>
      <x:c r="M92" s="508" t="str">
        <x:v>Légende : population d’abeilles adultes ; nombre total de nymphes ; nymphes parasitées ; total de varroas. Flèches bleues : traiter ; traiter ? (avec points d’interrogation dans l’original).</x:v>
      </x:c>
      <x:c r="N92" s="508" t="str">
        <x:v>Légende : population d’abeilles adultes ; nombre total de nymphes ; nymphes parasitées ; total de varroas. Flèches bleues : traiter ; traiter ? (avec points d’interrogation dans l’original).</x:v>
      </x:c>
    </x:row>
    <x:row r="93" ht="18" customHeight="1">
      <x:c r="A93" s="498"/>
      <x:c r="B93" s="498"/>
      <x:c r="C93" s="498"/>
      <x:c r="D93" s="498"/>
      <x:c r="E93" s="498"/>
      <x:c r="F93" s="498"/>
      <x:c r="G93" s="498"/>
      <x:c r="H93" s="498"/>
      <x:c r="I93" s="508" t="str">
        <x:v>Légende : population d’abeilles adultes ; nombre total de nymphes ; nymphes parasitées ; total de varroas. Flèches bleues : traiter ; traiter ? (avec points d’interrogation dans l’original).</x:v>
      </x:c>
      <x:c r="J93" s="508" t="str">
        <x:v>Légende : population d’abeilles adultes ; nombre total de nymphes ; nymphes parasitées ; total de varroas. Flèches bleues : traiter ; traiter ? (avec points d’interrogation dans l’original).</x:v>
      </x:c>
      <x:c r="K93" s="508" t="str">
        <x:v>Légende : population d’abeilles adultes ; nombre total de nymphes ; nymphes parasitées ; total de varroas. Flèches bleues : traiter ; traiter ? (avec points d’interrogation dans l’original).</x:v>
      </x:c>
      <x:c r="L93" s="508" t="str">
        <x:v>Légende : population d’abeilles adultes ; nombre total de nymphes ; nymphes parasitées ; total de varroas. Flèches bleues : traiter ; traiter ? (avec points d’interrogation dans l’original).</x:v>
      </x:c>
      <x:c r="M93" s="508" t="str">
        <x:v>Légende : population d’abeilles adultes ; nombre total de nymphes ; nymphes parasitées ; total de varroas. Flèches bleues : traiter ; traiter ? (avec points d’interrogation dans l’original).</x:v>
      </x:c>
      <x:c r="N93" s="508" t="str">
        <x:v>Légende : population d’abeilles adultes ; nombre total de nymphes ; nymphes parasitées ; total de varroas. Flèches bleues : traiter ; traiter ? (avec points d’interrogation dans l’original).</x:v>
      </x:c>
    </x:row>
    <x:row r="94" ht="18" customHeight="1">
      <x:c r="A94" s="498"/>
      <x:c r="B94" s="498"/>
      <x:c r="C94" s="498"/>
      <x:c r="D94" s="498"/>
      <x:c r="E94" s="498"/>
      <x:c r="F94" s="498"/>
      <x:c r="G94" s="498"/>
      <x:c r="H94" s="498"/>
      <x:c r="I94" s="498"/>
      <x:c r="J94" s="498"/>
      <x:c r="K94" s="498"/>
      <x:c r="L94" s="498"/>
      <x:c r="M94" s="498"/>
      <x:c r="N94" s="498"/>
    </x:row>
    <x:row r="95" ht="18" customHeight="1">
      <x:c r="A95" s="498"/>
      <x:c r="B95" s="498"/>
      <x:c r="C95" s="498"/>
      <x:c r="D95" s="498"/>
      <x:c r="E95" s="498"/>
      <x:c r="F95" s="498"/>
      <x:c r="G95" s="498"/>
      <x:c r="H95" s="498"/>
      <x:c r="I95" s="508" t="str">
        <x:v>Étapes saisonnières : absence de couvain ; développement de la colonie ; essaimage ; miellée ; diminution du couvain ; dernier couvain ; absence de couvain. Mois : janvier, février, mars, avril, mai, juin, juillet, août, septembre, octobre, novembre, décembre.</x:v>
      </x:c>
      <x:c r="J95" s="508" t="str">
        <x:v>Étapes saisonnières : absence de couvain ; développement de la colonie ; essaimage ; miellée ; diminution du couvain ; dernier couvain ; absence de couvain. Mois : janvier, février, mars, avril, mai, juin, juillet, août, septembre, octobre, novembre, décembre.</x:v>
      </x:c>
      <x:c r="K95" s="508" t="str">
        <x:v>Étapes saisonnières : absence de couvain ; développement de la colonie ; essaimage ; miellée ; diminution du couvain ; dernier couvain ; absence de couvain. Mois : janvier, février, mars, avril, mai, juin, juillet, août, septembre, octobre, novembre, décembre.</x:v>
      </x:c>
      <x:c r="L95" s="508" t="str">
        <x:v>Étapes saisonnières : absence de couvain ; développement de la colonie ; essaimage ; miellée ; diminution du couvain ; dernier couvain ; absence de couvain. Mois : janvier, février, mars, avril, mai, juin, juillet, août, septembre, octobre, novembre, décembre.</x:v>
      </x:c>
      <x:c r="M95" s="508" t="str">
        <x:v>Étapes saisonnières : absence de couvain ; développement de la colonie ; essaimage ; miellée ; diminution du couvain ; dernier couvain ; absence de couvain. Mois : janvier, février, mars, avril, mai, juin, juillet, août, septembre, octobre, novembre, décembre.</x:v>
      </x:c>
      <x:c r="N95" s="508" t="str">
        <x:v>Étapes saisonnières : absence de couvain ; développement de la colonie ; essaimage ; miellée ; diminution du couvain ; dernier couvain ; absence de couvain. Mois : janvier, février, mars, avril, mai, juin, juillet, août, septembre, octobre, novembre, décembre.</x:v>
      </x:c>
    </x:row>
    <x:row r="96" ht="18" customHeight="1">
      <x:c r="A96" s="498"/>
      <x:c r="B96" s="498"/>
      <x:c r="C96" s="498"/>
      <x:c r="D96" s="498"/>
      <x:c r="E96" s="498"/>
      <x:c r="F96" s="498"/>
      <x:c r="G96" s="498"/>
      <x:c r="H96" s="498"/>
      <x:c r="I96" s="508" t="str">
        <x:v>Étapes saisonnières : absence de couvain ; développement de la colonie ; essaimage ; miellée ; diminution du couvain ; dernier couvain ; absence de couvain. Mois : janvier, février, mars, avril, mai, juin, juillet, août, septembre, octobre, novembre, décembre.</x:v>
      </x:c>
      <x:c r="J96" s="508" t="str">
        <x:v>Étapes saisonnières : absence de couvain ; développement de la colonie ; essaimage ; miellée ; diminution du couvain ; dernier couvain ; absence de couvain. Mois : janvier, février, mars, avril, mai, juin, juillet, août, septembre, octobre, novembre, décembre.</x:v>
      </x:c>
      <x:c r="K96" s="508" t="str">
        <x:v>Étapes saisonnières : absence de couvain ; développement de la colonie ; essaimage ; miellée ; diminution du couvain ; dernier couvain ; absence de couvain. Mois : janvier, février, mars, avril, mai, juin, juillet, août, septembre, octobre, novembre, décembre.</x:v>
      </x:c>
      <x:c r="L96" s="508" t="str">
        <x:v>Étapes saisonnières : absence de couvain ; développement de la colonie ; essaimage ; miellée ; diminution du couvain ; dernier couvain ; absence de couvain. Mois : janvier, février, mars, avril, mai, juin, juillet, août, septembre, octobre, novembre, décembre.</x:v>
      </x:c>
      <x:c r="M96" s="508" t="str">
        <x:v>Étapes saisonnières : absence de couvain ; développement de la colonie ; essaimage ; miellée ; diminution du couvain ; dernier couvain ; absence de couvain. Mois : janvier, février, mars, avril, mai, juin, juillet, août, septembre, octobre, novembre, décembre.</x:v>
      </x:c>
      <x:c r="N96" s="508" t="str">
        <x:v>Étapes saisonnières : absence de couvain ; développement de la colonie ; essaimage ; miellée ; diminution du couvain ; dernier couvain ; absence de couvain. Mois : janvier, février, mars, avril, mai, juin, juillet, août, septembre, octobre, novembre, décembre.</x:v>
      </x:c>
    </x:row>
    <x:row r="97" ht="18" customHeight="1">
      <x:c r="A97" s="498"/>
      <x:c r="B97" s="498"/>
      <x:c r="C97" s="498"/>
      <x:c r="D97" s="498"/>
      <x:c r="E97" s="498"/>
      <x:c r="F97" s="498"/>
      <x:c r="G97" s="498"/>
      <x:c r="H97" s="498"/>
      <x:c r="I97" s="508" t="str">
        <x:v>Étapes saisonnières : absence de couvain ; développement de la colonie ; essaimage ; miellée ; diminution du couvain ; dernier couvain ; absence de couvain. Mois : janvier, février, mars, avril, mai, juin, juillet, août, septembre, octobre, novembre, décembre.</x:v>
      </x:c>
      <x:c r="J97" s="508" t="str">
        <x:v>Étapes saisonnières : absence de couvain ; développement de la colonie ; essaimage ; miellée ; diminution du couvain ; dernier couvain ; absence de couvain. Mois : janvier, février, mars, avril, mai, juin, juillet, août, septembre, octobre, novembre, décembre.</x:v>
      </x:c>
      <x:c r="K97" s="508" t="str">
        <x:v>Étapes saisonnières : absence de couvain ; développement de la colonie ; essaimage ; miellée ; diminution du couvain ; dernier couvain ; absence de couvain. Mois : janvier, février, mars, avril, mai, juin, juillet, août, septembre, octobre, novembre, décembre.</x:v>
      </x:c>
      <x:c r="L97" s="508" t="str">
        <x:v>Étapes saisonnières : absence de couvain ; développement de la colonie ; essaimage ; miellée ; diminution du couvain ; dernier couvain ; absence de couvain. Mois : janvier, février, mars, avril, mai, juin, juillet, août, septembre, octobre, novembre, décembre.</x:v>
      </x:c>
      <x:c r="M97" s="508" t="str">
        <x:v>Étapes saisonnières : absence de couvain ; développement de la colonie ; essaimage ; miellée ; diminution du couvain ; dernier couvain ; absence de couvain. Mois : janvier, février, mars, avril, mai, juin, juillet, août, septembre, octobre, novembre, décembre.</x:v>
      </x:c>
      <x:c r="N97" s="508" t="str">
        <x:v>Étapes saisonnières : absence de couvain ; développement de la colonie ; essaimage ; miellée ; diminution du couvain ; dernier couvain ; absence de couvain. Mois : janvier, février, mars, avril, mai, juin, juillet, août, septembre, octobre, novembre, décembre.</x:v>
      </x:c>
    </x:row>
    <x:row r="98" ht="18" customHeight="1">
      <x:c r="A98" s="498"/>
      <x:c r="B98" s="498"/>
      <x:c r="C98" s="498"/>
      <x:c r="D98" s="498"/>
      <x:c r="E98" s="498"/>
      <x:c r="F98" s="498"/>
      <x:c r="G98" s="498"/>
      <x:c r="H98" s="498"/>
      <x:c r="I98" s="508" t="str">
        <x:v>Étapes saisonnières : absence de couvain ; développement de la colonie ; essaimage ; miellée ; diminution du couvain ; dernier couvain ; absence de couvain. Mois : janvier, février, mars, avril, mai, juin, juillet, août, septembre, octobre, novembre, décembre.</x:v>
      </x:c>
      <x:c r="J98" s="508" t="str">
        <x:v>Étapes saisonnières : absence de couvain ; développement de la colonie ; essaimage ; miellée ; diminution du couvain ; dernier couvain ; absence de couvain. Mois : janvier, février, mars, avril, mai, juin, juillet, août, septembre, octobre, novembre, décembre.</x:v>
      </x:c>
      <x:c r="K98" s="508" t="str">
        <x:v>Étapes saisonnières : absence de couvain ; développement de la colonie ; essaimage ; miellée ; diminution du couvain ; dernier couvain ; absence de couvain. Mois : janvier, février, mars, avril, mai, juin, juillet, août, septembre, octobre, novembre, décembre.</x:v>
      </x:c>
      <x:c r="L98" s="508" t="str">
        <x:v>Étapes saisonnières : absence de couvain ; développement de la colonie ; essaimage ; miellée ; diminution du couvain ; dernier couvain ; absence de couvain. Mois : janvier, février, mars, avril, mai, juin, juillet, août, septembre, octobre, novembre, décembre.</x:v>
      </x:c>
      <x:c r="M98" s="508" t="str">
        <x:v>Étapes saisonnières : absence de couvain ; développement de la colonie ; essaimage ; miellée ; diminution du couvain ; dernier couvain ; absence de couvain. Mois : janvier, février, mars, avril, mai, juin, juillet, août, septembre, octobre, novembre, décembre.</x:v>
      </x:c>
      <x:c r="N98" s="508" t="str">
        <x:v>Étapes saisonnières : absence de couvain ; développement de la colonie ; essaimage ; miellée ; diminution du couvain ; dernier couvain ; absence de couvain. Mois : janvier, février, mars, avril, mai, juin, juillet, août, septembre, octobre, novembre, décembre.</x:v>
      </x:c>
    </x:row>
    <x:row r="99" ht="18" customHeight="1">
      <x:c r="A99" s="498"/>
      <x:c r="B99" s="498"/>
      <x:c r="C99" s="498"/>
      <x:c r="D99" s="498"/>
      <x:c r="E99" s="498"/>
      <x:c r="F99" s="498"/>
      <x:c r="G99" s="498"/>
      <x:c r="H99" s="498"/>
      <x:c r="I99" s="508" t="str">
        <x:v>Étapes saisonnières : absence de couvain ; développement de la colonie ; essaimage ; miellée ; diminution du couvain ; dernier couvain ; absence de couvain. Mois : janvier, février, mars, avril, mai, juin, juillet, août, septembre, octobre, novembre, décembre.</x:v>
      </x:c>
      <x:c r="J99" s="508" t="str">
        <x:v>Étapes saisonnières : absence de couvain ; développement de la colonie ; essaimage ; miellée ; diminution du couvain ; dernier couvain ; absence de couvain. Mois : janvier, février, mars, avril, mai, juin, juillet, août, septembre, octobre, novembre, décembre.</x:v>
      </x:c>
      <x:c r="K99" s="508" t="str">
        <x:v>Étapes saisonnières : absence de couvain ; développement de la colonie ; essaimage ; miellée ; diminution du couvain ; dernier couvain ; absence de couvain. Mois : janvier, février, mars, avril, mai, juin, juillet, août, septembre, octobre, novembre, décembre.</x:v>
      </x:c>
      <x:c r="L99" s="508" t="str">
        <x:v>Étapes saisonnières : absence de couvain ; développement de la colonie ; essaimage ; miellée ; diminution du couvain ; dernier couvain ; absence de couvain. Mois : janvier, février, mars, avril, mai, juin, juillet, août, septembre, octobre, novembre, décembre.</x:v>
      </x:c>
      <x:c r="M99" s="508" t="str">
        <x:v>Étapes saisonnières : absence de couvain ; développement de la colonie ; essaimage ; miellée ; diminution du couvain ; dernier couvain ; absence de couvain. Mois : janvier, février, mars, avril, mai, juin, juillet, août, septembre, octobre, novembre, décembre.</x:v>
      </x:c>
      <x:c r="N99" s="508" t="str">
        <x:v>Étapes saisonnières : absence de couvain ; développement de la colonie ; essaimage ; miellée ; diminution du couvain ; dernier couvain ; absence de couvain. Mois : janvier, février, mars, avril, mai, juin, juillet, août, septembre, octobre, novembre, décembre.</x:v>
      </x:c>
    </x:row>
    <x:row r="100" ht="18" customHeight="1">
      <x:c r="A100" s="498"/>
      <x:c r="B100" s="498"/>
      <x:c r="C100" s="498"/>
      <x:c r="D100" s="498"/>
      <x:c r="E100" s="498"/>
      <x:c r="F100" s="498"/>
      <x:c r="G100" s="498"/>
      <x:c r="H100" s="498"/>
      <x:c r="I100" s="498"/>
      <x:c r="J100" s="498"/>
      <x:c r="K100" s="498"/>
      <x:c r="L100" s="498"/>
      <x:c r="M100" s="498"/>
      <x:c r="N100" s="498"/>
    </x:row>
    <x:row r="101" ht="18" customHeight="1">
      <x:c r="A101" s="498"/>
      <x:c r="B101" s="498"/>
      <x:c r="C101" s="498"/>
      <x:c r="D101" s="498"/>
      <x:c r="E101" s="498"/>
      <x:c r="F101" s="498"/>
      <x:c r="G101" s="498"/>
      <x:c r="H101" s="498"/>
      <x:c r="I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1"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2" ht="18" customHeight="1">
      <x:c r="A102" s="498"/>
      <x:c r="B102" s="498"/>
      <x:c r="C102" s="498"/>
      <x:c r="D102" s="498"/>
      <x:c r="E102" s="498"/>
      <x:c r="F102" s="498"/>
      <x:c r="G102" s="498"/>
      <x:c r="H102" s="498"/>
      <x:c r="I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2"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3" ht="18" customHeight="1">
      <x:c r="A103" s="498"/>
      <x:c r="B103" s="498"/>
      <x:c r="C103" s="498"/>
      <x:c r="D103" s="498"/>
      <x:c r="E103" s="498"/>
      <x:c r="F103" s="498"/>
      <x:c r="G103" s="498"/>
      <x:c r="H103" s="498"/>
      <x:c r="I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3"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4" ht="18" customHeight="1">
      <x:c r="A104" s="498"/>
      <x:c r="B104" s="498"/>
      <x:c r="C104" s="498"/>
      <x:c r="D104" s="498"/>
      <x:c r="E104" s="498"/>
      <x:c r="F104" s="498"/>
      <x:c r="G104" s="498"/>
      <x:c r="H104" s="498"/>
      <x:c r="I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4"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5" ht="18" customHeight="1">
      <x:c r="A105" s="498"/>
      <x:c r="B105" s="498"/>
      <x:c r="C105" s="498"/>
      <x:c r="D105" s="498"/>
      <x:c r="E105" s="498"/>
      <x:c r="F105" s="498"/>
      <x:c r="G105" s="498"/>
      <x:c r="H105" s="498"/>
      <x:c r="I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5"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6" ht="18" customHeight="1">
      <x:c r="A106" s="498"/>
      <x:c r="B106" s="498"/>
      <x:c r="C106" s="498"/>
      <x:c r="D106" s="498"/>
      <x:c r="E106" s="498"/>
      <x:c r="F106" s="498"/>
      <x:c r="G106" s="498"/>
      <x:c r="H106" s="498"/>
      <x:c r="I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J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K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L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M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c r="N106" s="508" t="str">
        <x:v>Cases du bas, de gauche à droite : acide oxalique par dégouttement ou sublimation ; acide formique, HopGuard, amitraz ; acide formique, thymol ? ; production de miel : acide formique, HopGuard, acide oxalique à libération prolongée ; thymol, acide formique ? ; aucun traitement ; acide oxalique par dégouttement ou sublimation, HopGuard.</x:v>
      </x:c>
    </x:row>
    <x:row r="107" ht="18" customHeight="1">
      <x:c r="A107" s="498"/>
      <x:c r="B107" s="498"/>
      <x:c r="C107" s="498"/>
      <x:c r="D107" s="498"/>
      <x:c r="E107" s="498"/>
      <x:c r="F107" s="498"/>
      <x:c r="G107" s="498"/>
      <x:c r="H107" s="498"/>
      <x:c r="I107" s="498"/>
      <x:c r="J107" s="498"/>
      <x:c r="K107" s="498"/>
      <x:c r="L107" s="498"/>
      <x:c r="M107" s="498"/>
      <x:c r="N107" s="498"/>
    </x:row>
    <x:row r="108" ht="18" customHeight="1">
      <x:c r="A108" s="498"/>
      <x:c r="B108" s="498"/>
      <x:c r="C108" s="498"/>
      <x:c r="D108" s="498"/>
      <x:c r="E108" s="498"/>
      <x:c r="F108" s="498"/>
      <x:c r="G108" s="498"/>
      <x:c r="H108" s="498"/>
      <x:c r="I108" s="508" t="str">
        <x:v>Traduction du document américain d’origine. Les noms de produits et les points d’interrogation sont conservés ; cette traduction ne constitue pas une validation réglementaire locale.</x:v>
      </x:c>
      <x:c r="J108" s="508" t="str">
        <x:v>Traduction du document américain d’origine. Les noms de produits et les points d’interrogation sont conservés ; cette traduction ne constitue pas une validation réglementaire locale.</x:v>
      </x:c>
      <x:c r="K108" s="508" t="str">
        <x:v>Traduction du document américain d’origine. Les noms de produits et les points d’interrogation sont conservés ; cette traduction ne constitue pas une validation réglementaire locale.</x:v>
      </x:c>
      <x:c r="L108" s="508" t="str">
        <x:v>Traduction du document américain d’origine. Les noms de produits et les points d’interrogation sont conservés ; cette traduction ne constitue pas une validation réglementaire locale.</x:v>
      </x:c>
      <x:c r="M108" s="508" t="str">
        <x:v>Traduction du document américain d’origine. Les noms de produits et les points d’interrogation sont conservés ; cette traduction ne constitue pas une validation réglementaire locale.</x:v>
      </x:c>
      <x:c r="N108" s="508" t="str">
        <x:v>Traduction du document américain d’origine. Les noms de produits et les points d’interrogation sont conservés ; cette traduction ne constitue pas une validation réglementaire locale.</x:v>
      </x:c>
    </x:row>
    <x:row r="109" ht="18" customHeight="1">
      <x:c r="A109" s="498"/>
      <x:c r="B109" s="498"/>
      <x:c r="C109" s="498"/>
      <x:c r="D109" s="498"/>
      <x:c r="E109" s="498"/>
      <x:c r="F109" s="498"/>
      <x:c r="G109" s="498"/>
      <x:c r="H109" s="498"/>
      <x:c r="I109" s="508" t="str">
        <x:v>Traduction du document américain d’origine. Les noms de produits et les points d’interrogation sont conservés ; cette traduction ne constitue pas une validation réglementaire locale.</x:v>
      </x:c>
      <x:c r="J109" s="508" t="str">
        <x:v>Traduction du document américain d’origine. Les noms de produits et les points d’interrogation sont conservés ; cette traduction ne constitue pas une validation réglementaire locale.</x:v>
      </x:c>
      <x:c r="K109" s="508" t="str">
        <x:v>Traduction du document américain d’origine. Les noms de produits et les points d’interrogation sont conservés ; cette traduction ne constitue pas une validation réglementaire locale.</x:v>
      </x:c>
      <x:c r="L109" s="508" t="str">
        <x:v>Traduction du document américain d’origine. Les noms de produits et les points d’interrogation sont conservés ; cette traduction ne constitue pas une validation réglementaire locale.</x:v>
      </x:c>
      <x:c r="M109" s="508" t="str">
        <x:v>Traduction du document américain d’origine. Les noms de produits et les points d’interrogation sont conservés ; cette traduction ne constitue pas une validation réglementaire locale.</x:v>
      </x:c>
      <x:c r="N109" s="508" t="str">
        <x:v>Traduction du document américain d’origine. Les noms de produits et les points d’interrogation sont conservés ; cette traduction ne constitue pas une validation réglementaire locale.</x:v>
      </x:c>
    </x:row>
    <x:row r="110" ht="18" customHeight="1">
      <x:c r="A110" s="498"/>
      <x:c r="B110" s="498"/>
      <x:c r="C110" s="498"/>
      <x:c r="D110" s="498"/>
      <x:c r="E110" s="498"/>
      <x:c r="F110" s="498"/>
      <x:c r="G110" s="498"/>
      <x:c r="H110" s="498"/>
      <x:c r="I110" s="508" t="str">
        <x:v>Traduction du document américain d’origine. Les noms de produits et les points d’interrogation sont conservés ; cette traduction ne constitue pas une validation réglementaire locale.</x:v>
      </x:c>
      <x:c r="J110" s="508" t="str">
        <x:v>Traduction du document américain d’origine. Les noms de produits et les points d’interrogation sont conservés ; cette traduction ne constitue pas une validation réglementaire locale.</x:v>
      </x:c>
      <x:c r="K110" s="508" t="str">
        <x:v>Traduction du document américain d’origine. Les noms de produits et les points d’interrogation sont conservés ; cette traduction ne constitue pas une validation réglementaire locale.</x:v>
      </x:c>
      <x:c r="L110" s="508" t="str">
        <x:v>Traduction du document américain d’origine. Les noms de produits et les points d’interrogation sont conservés ; cette traduction ne constitue pas une validation réglementaire locale.</x:v>
      </x:c>
      <x:c r="M110" s="508" t="str">
        <x:v>Traduction du document américain d’origine. Les noms de produits et les points d’interrogation sont conservés ; cette traduction ne constitue pas une validation réglementaire locale.</x:v>
      </x:c>
      <x:c r="N110" s="508" t="str">
        <x:v>Traduction du document américain d’origine. Les noms de produits et les points d’interrogation sont conservés ; cette traduction ne constitue pas une validation réglementaire locale.</x:v>
      </x:c>
    </x:row>
    <x:row r="111" ht="18" customHeight="1">
      <x:c r="A111" s="498"/>
      <x:c r="B111" s="498"/>
      <x:c r="C111" s="498"/>
      <x:c r="D111" s="498"/>
      <x:c r="E111" s="498"/>
      <x:c r="F111" s="498"/>
      <x:c r="G111" s="498"/>
      <x:c r="H111" s="498"/>
      <x:c r="I111" s="508" t="str">
        <x:v>Traduction du document américain d’origine. Les noms de produits et les points d’interrogation sont conservés ; cette traduction ne constitue pas une validation réglementaire locale.</x:v>
      </x:c>
      <x:c r="J111" s="508" t="str">
        <x:v>Traduction du document américain d’origine. Les noms de produits et les points d’interrogation sont conservés ; cette traduction ne constitue pas une validation réglementaire locale.</x:v>
      </x:c>
      <x:c r="K111" s="508" t="str">
        <x:v>Traduction du document américain d’origine. Les noms de produits et les points d’interrogation sont conservés ; cette traduction ne constitue pas une validation réglementaire locale.</x:v>
      </x:c>
      <x:c r="L111" s="508" t="str">
        <x:v>Traduction du document américain d’origine. Les noms de produits et les points d’interrogation sont conservés ; cette traduction ne constitue pas une validation réglementaire locale.</x:v>
      </x:c>
      <x:c r="M111" s="508" t="str">
        <x:v>Traduction du document américain d’origine. Les noms de produits et les points d’interrogation sont conservés ; cette traduction ne constitue pas une validation réglementaire locale.</x:v>
      </x:c>
      <x:c r="N111" s="508" t="str">
        <x:v>Traduction du document américain d’origine. Les noms de produits et les points d’interrogation sont conservés ; cette traduction ne constitue pas une validation réglementaire locale.</x:v>
      </x:c>
    </x:row>
    <x:row r="112" ht="18" customHeight="1">
      <x:c r="A112" s="498"/>
      <x:c r="B112" s="498"/>
      <x:c r="C112" s="498"/>
      <x:c r="D112" s="498"/>
      <x:c r="E112" s="498"/>
      <x:c r="F112" s="498"/>
      <x:c r="G112" s="498"/>
      <x:c r="H112" s="498"/>
      <x:c r="I112" s="498"/>
      <x:c r="J112" s="498"/>
      <x:c r="K112" s="498"/>
      <x:c r="L112" s="498"/>
      <x:c r="M112" s="498"/>
      <x:c r="N112" s="498"/>
    </x:row>
    <x:row r="113" ht="18" customHeight="1">
      <x:c r="A113" s="498"/>
      <x:c r="B113" s="498"/>
      <x:c r="C113" s="498"/>
      <x:c r="D113" s="498"/>
      <x:c r="E113" s="498"/>
      <x:c r="F113" s="498"/>
      <x:c r="G113" s="498"/>
      <x:c r="H113" s="498"/>
      <x:c r="I113" s="498"/>
      <x:c r="J113" s="498"/>
      <x:c r="K113" s="498"/>
      <x:c r="L113" s="498"/>
      <x:c r="M113" s="498"/>
      <x:c r="N113" s="498"/>
    </x:row>
    <x:row r="114" ht="18" customHeight="1">
      <x:c r="A114" s="498"/>
      <x:c r="B114" s="498"/>
      <x:c r="C114" s="498"/>
      <x:c r="D114" s="498"/>
      <x:c r="E114" s="498"/>
      <x:c r="F114" s="498"/>
      <x:c r="G114" s="498"/>
      <x:c r="H114" s="498"/>
      <x:c r="I114" s="498"/>
      <x:c r="J114" s="498"/>
      <x:c r="K114" s="498"/>
      <x:c r="L114" s="498"/>
      <x:c r="M114" s="498"/>
      <x:c r="N114" s="498"/>
    </x:row>
    <x:row r="115" ht="18" customHeight="1">
      <x:c r="A115" s="498"/>
      <x:c r="B115" s="525" t="str">
        <x:v>05 · Interventions selon la saison — paramètres libres</x:v>
      </x:c>
      <x:c r="C115" s="525" t="str">
        <x:v>05 · Interventions selon la saison — paramètres libres</x:v>
      </x:c>
      <x:c r="D115" s="525" t="str">
        <x:v>05 · Interventions selon la saison — paramètres libres</x:v>
      </x:c>
      <x:c r="E115" s="525" t="str">
        <x:v>05 · Interventions selon la saison — paramètres libres</x:v>
      </x:c>
      <x:c r="F115" s="525" t="str">
        <x:v>05 · Interventions selon la saison — paramètres libres</x:v>
      </x:c>
      <x:c r="G115" s="525" t="str">
        <x:v>05 · Interventions selon la saison — paramètres libres</x:v>
      </x:c>
      <x:c r="H115" s="525" t="str">
        <x:v>05 · Interventions selon la saison — paramètres libres</x:v>
      </x:c>
      <x:c r="I115" s="525" t="str">
        <x:v>05 · Interventions selon la saison — paramètres libres</x:v>
      </x:c>
      <x:c r="J115" s="525" t="str">
        <x:v>05 · Interventions selon la saison — paramètres libres</x:v>
      </x:c>
      <x:c r="K115" s="525" t="str">
        <x:v>05 · Interventions selon la saison — paramètres libres</x:v>
      </x:c>
      <x:c r="L115" s="525" t="str">
        <x:v>05 · Interventions selon la saison — paramètres libres</x:v>
      </x:c>
      <x:c r="M115" s="525" t="str">
        <x:v>05 · Interventions selon la saison — paramètres libres</x:v>
      </x:c>
      <x:c r="N115" s="525" t="str">
        <x:v>05 · Interventions selon la saison — paramètres libres</x:v>
      </x:c>
    </x:row>
    <x:row r="116" ht="18" customHeight="1">
      <x:c r="A116" s="498"/>
      <x:c r="B116" s="525" t="str">
        <x:v>05 · Interventions selon la saison — paramètres libres</x:v>
      </x:c>
      <x:c r="C116" s="525" t="str">
        <x:v>05 · Interventions selon la saison — paramètres libres</x:v>
      </x:c>
      <x:c r="D116" s="525" t="str">
        <x:v>05 · Interventions selon la saison — paramètres libres</x:v>
      </x:c>
      <x:c r="E116" s="525" t="str">
        <x:v>05 · Interventions selon la saison — paramètres libres</x:v>
      </x:c>
      <x:c r="F116" s="525" t="str">
        <x:v>05 · Interventions selon la saison — paramètres libres</x:v>
      </x:c>
      <x:c r="G116" s="525" t="str">
        <x:v>05 · Interventions selon la saison — paramètres libres</x:v>
      </x:c>
      <x:c r="H116" s="525" t="str">
        <x:v>05 · Interventions selon la saison — paramètres libres</x:v>
      </x:c>
      <x:c r="I116" s="525" t="str">
        <x:v>05 · Interventions selon la saison — paramètres libres</x:v>
      </x:c>
      <x:c r="J116" s="525" t="str">
        <x:v>05 · Interventions selon la saison — paramètres libres</x:v>
      </x:c>
      <x:c r="K116" s="525" t="str">
        <x:v>05 · Interventions selon la saison — paramètres libres</x:v>
      </x:c>
      <x:c r="L116" s="525" t="str">
        <x:v>05 · Interventions selon la saison — paramètres libres</x:v>
      </x:c>
      <x:c r="M116" s="525" t="str">
        <x:v>05 · Interventions selon la saison — paramètres libres</x:v>
      </x:c>
      <x:c r="N116" s="525" t="str">
        <x:v>05 · Interventions selon la saison — paramètres libres</x:v>
      </x:c>
    </x:row>
    <x:row r="117" ht="18" customHeight="1">
      <x:c r="A117" s="498"/>
      <x:c r="B117" s="520" t="str">
        <x:v>Paramètres libres — image 7</x:v>
      </x:c>
      <x:c r="C117" s="520" t="str">
        <x:v>Paramètres libres — image 7</x:v>
      </x:c>
      <x:c r="D117" s="520" t="str">
        <x:v>Paramètres libres — image 7</x:v>
      </x:c>
      <x:c r="E117" s="520" t="str">
        <x:v>Paramètres libres — image 7</x:v>
      </x:c>
      <x:c r="F117" s="520" t="str">
        <x:v>Paramètres libres — image 7</x:v>
      </x:c>
      <x:c r="G117" s="520" t="str">
        <x:v>Paramètres libres — image 7</x:v>
      </x:c>
      <x:c r="H117" s="520" t="str">
        <x:v>Paramètres libres — image 7</x:v>
      </x:c>
      <x:c r="I117" s="520" t="str">
        <x:v>Paramètres libres — image 7</x:v>
      </x:c>
      <x:c r="J117" s="520" t="str">
        <x:v>Paramètres libres — image 7</x:v>
      </x:c>
      <x:c r="K117" s="520" t="str">
        <x:v>Paramètres libres — image 7</x:v>
      </x:c>
      <x:c r="L117" s="520" t="str">
        <x:v>Paramètres libres — image 7</x:v>
      </x:c>
      <x:c r="M117" s="520" t="str">
        <x:v>Paramètres libres — image 7</x:v>
      </x:c>
      <x:c r="N117" s="520" t="str">
        <x:v>Paramètres libres — image 7</x:v>
      </x:c>
    </x:row>
    <x:row r="118" ht="18" customHeight="1">
      <x:c r="A118" s="498"/>
      <x:c r="B118" s="498"/>
      <x:c r="C118" s="498"/>
      <x:c r="D118" s="498"/>
      <x:c r="E118" s="498"/>
      <x:c r="F118" s="498"/>
      <x:c r="G118" s="498"/>
      <x:c r="H118" s="498"/>
      <x:c r="I118" s="498"/>
      <x:c r="J118" s="498"/>
      <x:c r="K118" s="498"/>
      <x:c r="L118" s="498"/>
      <x:c r="M118" s="498"/>
      <x:c r="N118" s="498"/>
    </x:row>
    <x:row r="119" ht="18" customHeight="1">
      <x:c r="A119" s="498"/>
      <x:c r="B119" s="498"/>
      <x:c r="C119" s="498"/>
      <x:c r="D119" s="498"/>
      <x:c r="E119" s="498"/>
      <x:c r="F119" s="498"/>
      <x:c r="G119" s="498"/>
      <x:c r="H119" s="498"/>
      <x:c r="I119" s="508" t="str">
        <x:v>Traitements adaptés au moment de la saison. Ce modèle est un travail en cours : assurez-vous d’utiliser la version la plus récente ! © ScientificBeekeeping.</x:v>
      </x:c>
      <x:c r="J119" s="508" t="str">
        <x:v>Traitements adaptés au moment de la saison. Ce modèle est un travail en cours : assurez-vous d’utiliser la version la plus récente ! © ScientificBeekeeping.</x:v>
      </x:c>
      <x:c r="K119" s="508" t="str">
        <x:v>Traitements adaptés au moment de la saison. Ce modèle est un travail en cours : assurez-vous d’utiliser la version la plus récente ! © ScientificBeekeeping.</x:v>
      </x:c>
      <x:c r="L119" s="508" t="str">
        <x:v>Traitements adaptés au moment de la saison. Ce modèle est un travail en cours : assurez-vous d’utiliser la version la plus récente ! © ScientificBeekeeping.</x:v>
      </x:c>
      <x:c r="M119" s="508" t="str">
        <x:v>Traitements adaptés au moment de la saison. Ce modèle est un travail en cours : assurez-vous d’utiliser la version la plus récente ! © ScientificBeekeeping.</x:v>
      </x:c>
      <x:c r="N119" s="508" t="str">
        <x:v>Traitements adaptés au moment de la saison. Ce modèle est un travail en cours : assurez-vous d’utiliser la version la plus récente ! © ScientificBeekeeping.</x:v>
      </x:c>
    </x:row>
    <x:row r="120" ht="18" customHeight="1">
      <x:c r="A120" s="498"/>
      <x:c r="B120" s="498"/>
      <x:c r="C120" s="498"/>
      <x:c r="D120" s="498"/>
      <x:c r="E120" s="498"/>
      <x:c r="F120" s="498"/>
      <x:c r="G120" s="498"/>
      <x:c r="H120" s="498"/>
      <x:c r="I120" s="508" t="str">
        <x:v>Traitements adaptés au moment de la saison. Ce modèle est un travail en cours : assurez-vous d’utiliser la version la plus récente ! © ScientificBeekeeping.</x:v>
      </x:c>
      <x:c r="J120" s="508" t="str">
        <x:v>Traitements adaptés au moment de la saison. Ce modèle est un travail en cours : assurez-vous d’utiliser la version la plus récente ! © ScientificBeekeeping.</x:v>
      </x:c>
      <x:c r="K120" s="508" t="str">
        <x:v>Traitements adaptés au moment de la saison. Ce modèle est un travail en cours : assurez-vous d’utiliser la version la plus récente ! © ScientificBeekeeping.</x:v>
      </x:c>
      <x:c r="L120" s="508" t="str">
        <x:v>Traitements adaptés au moment de la saison. Ce modèle est un travail en cours : assurez-vous d’utiliser la version la plus récente ! © ScientificBeekeeping.</x:v>
      </x:c>
      <x:c r="M120" s="508" t="str">
        <x:v>Traitements adaptés au moment de la saison. Ce modèle est un travail en cours : assurez-vous d’utiliser la version la plus récente ! © ScientificBeekeeping.</x:v>
      </x:c>
      <x:c r="N120" s="508" t="str">
        <x:v>Traitements adaptés au moment de la saison. Ce modèle est un travail en cours : assurez-vous d’utiliser la version la plus récente ! © ScientificBeekeeping.</x:v>
      </x:c>
    </x:row>
    <x:row r="121" ht="18" customHeight="1">
      <x:c r="A121" s="498"/>
      <x:c r="B121" s="498"/>
      <x:c r="C121" s="498"/>
      <x:c r="D121" s="498"/>
      <x:c r="E121" s="498"/>
      <x:c r="F121" s="498"/>
      <x:c r="G121" s="498"/>
      <x:c r="H121" s="498"/>
      <x:c r="I121" s="508" t="str">
        <x:v>Traitements adaptés au moment de la saison. Ce modèle est un travail en cours : assurez-vous d’utiliser la version la plus récente ! © ScientificBeekeeping.</x:v>
      </x:c>
      <x:c r="J121" s="508" t="str">
        <x:v>Traitements adaptés au moment de la saison. Ce modèle est un travail en cours : assurez-vous d’utiliser la version la plus récente ! © ScientificBeekeeping.</x:v>
      </x:c>
      <x:c r="K121" s="508" t="str">
        <x:v>Traitements adaptés au moment de la saison. Ce modèle est un travail en cours : assurez-vous d’utiliser la version la plus récente ! © ScientificBeekeeping.</x:v>
      </x:c>
      <x:c r="L121" s="508" t="str">
        <x:v>Traitements adaptés au moment de la saison. Ce modèle est un travail en cours : assurez-vous d’utiliser la version la plus récente ! © ScientificBeekeeping.</x:v>
      </x:c>
      <x:c r="M121" s="508" t="str">
        <x:v>Traitements adaptés au moment de la saison. Ce modèle est un travail en cours : assurez-vous d’utiliser la version la plus récente ! © ScientificBeekeeping.</x:v>
      </x:c>
      <x:c r="N121" s="508" t="str">
        <x:v>Traitements adaptés au moment de la saison. Ce modèle est un travail en cours : assurez-vous d’utiliser la version la plus récente ! © ScientificBeekeeping.</x:v>
      </x:c>
    </x:row>
    <x:row r="122" ht="18" customHeight="1">
      <x:c r="A122" s="498"/>
      <x:c r="B122" s="498"/>
      <x:c r="C122" s="498"/>
      <x:c r="D122" s="498"/>
      <x:c r="E122" s="498"/>
      <x:c r="F122" s="498"/>
      <x:c r="G122" s="498"/>
      <x:c r="H122" s="498"/>
      <x:c r="I122" s="508" t="str">
        <x:v>Traitements adaptés au moment de la saison. Ce modèle est un travail en cours : assurez-vous d’utiliser la version la plus récente ! © ScientificBeekeeping.</x:v>
      </x:c>
      <x:c r="J122" s="508" t="str">
        <x:v>Traitements adaptés au moment de la saison. Ce modèle est un travail en cours : assurez-vous d’utiliser la version la plus récente ! © ScientificBeekeeping.</x:v>
      </x:c>
      <x:c r="K122" s="508" t="str">
        <x:v>Traitements adaptés au moment de la saison. Ce modèle est un travail en cours : assurez-vous d’utiliser la version la plus récente ! © ScientificBeekeeping.</x:v>
      </x:c>
      <x:c r="L122" s="508" t="str">
        <x:v>Traitements adaptés au moment de la saison. Ce modèle est un travail en cours : assurez-vous d’utiliser la version la plus récente ! © ScientificBeekeeping.</x:v>
      </x:c>
      <x:c r="M122" s="508" t="str">
        <x:v>Traitements adaptés au moment de la saison. Ce modèle est un travail en cours : assurez-vous d’utiliser la version la plus récente ! © ScientificBeekeeping.</x:v>
      </x:c>
      <x:c r="N122" s="508" t="str">
        <x:v>Traitements adaptés au moment de la saison. Ce modèle est un travail en cours : assurez-vous d’utiliser la version la plus récente ! © ScientificBeekeeping.</x:v>
      </x:c>
    </x:row>
    <x:row r="123" ht="18" customHeight="1">
      <x:c r="A123" s="498"/>
      <x:c r="B123" s="498"/>
      <x:c r="C123" s="498"/>
      <x:c r="D123" s="498"/>
      <x:c r="E123" s="498"/>
      <x:c r="F123" s="498"/>
      <x:c r="G123" s="498"/>
      <x:c r="H123" s="498"/>
      <x:c r="I123" s="498"/>
      <x:c r="J123" s="498"/>
      <x:c r="K123" s="498"/>
      <x:c r="L123" s="498"/>
      <x:c r="M123" s="498"/>
      <x:c r="N123" s="498"/>
    </x:row>
    <x:row r="124" ht="18" customHeight="1">
      <x:c r="A124" s="498"/>
      <x:c r="B124" s="498"/>
      <x:c r="C124" s="498"/>
      <x:c r="D124" s="498"/>
      <x:c r="E124" s="498"/>
      <x:c r="F124" s="498"/>
      <x:c r="G124" s="498"/>
      <x:c r="H124" s="498"/>
      <x:c r="I124" s="508" t="str">
        <x:v>Légende : population d’abeilles adultes ; nombre total de nymphes ; nymphes parasitées ; total de varroas. Flèches bleues : traiter ; traiter ?.</x:v>
      </x:c>
      <x:c r="J124" s="508" t="str">
        <x:v>Légende : population d’abeilles adultes ; nombre total de nymphes ; nymphes parasitées ; total de varroas. Flèches bleues : traiter ; traiter ?.</x:v>
      </x:c>
      <x:c r="K124" s="508" t="str">
        <x:v>Légende : population d’abeilles adultes ; nombre total de nymphes ; nymphes parasitées ; total de varroas. Flèches bleues : traiter ; traiter ?.</x:v>
      </x:c>
      <x:c r="L124" s="508" t="str">
        <x:v>Légende : population d’abeilles adultes ; nombre total de nymphes ; nymphes parasitées ; total de varroas. Flèches bleues : traiter ; traiter ?.</x:v>
      </x:c>
      <x:c r="M124" s="508" t="str">
        <x:v>Légende : population d’abeilles adultes ; nombre total de nymphes ; nymphes parasitées ; total de varroas. Flèches bleues : traiter ; traiter ?.</x:v>
      </x:c>
      <x:c r="N124" s="508" t="str">
        <x:v>Légende : population d’abeilles adultes ; nombre total de nymphes ; nymphes parasitées ; total de varroas. Flèches bleues : traiter ; traiter ?.</x:v>
      </x:c>
    </x:row>
    <x:row r="125" ht="18" customHeight="1">
      <x:c r="A125" s="498"/>
      <x:c r="B125" s="498"/>
      <x:c r="C125" s="498"/>
      <x:c r="D125" s="498"/>
      <x:c r="E125" s="498"/>
      <x:c r="F125" s="498"/>
      <x:c r="G125" s="498"/>
      <x:c r="H125" s="498"/>
      <x:c r="I125" s="508" t="str">
        <x:v>Légende : population d’abeilles adultes ; nombre total de nymphes ; nymphes parasitées ; total de varroas. Flèches bleues : traiter ; traiter ?.</x:v>
      </x:c>
      <x:c r="J125" s="508" t="str">
        <x:v>Légende : population d’abeilles adultes ; nombre total de nymphes ; nymphes parasitées ; total de varroas. Flèches bleues : traiter ; traiter ?.</x:v>
      </x:c>
      <x:c r="K125" s="508" t="str">
        <x:v>Légende : population d’abeilles adultes ; nombre total de nymphes ; nymphes parasitées ; total de varroas. Flèches bleues : traiter ; traiter ?.</x:v>
      </x:c>
      <x:c r="L125" s="508" t="str">
        <x:v>Légende : population d’abeilles adultes ; nombre total de nymphes ; nymphes parasitées ; total de varroas. Flèches bleues : traiter ; traiter ?.</x:v>
      </x:c>
      <x:c r="M125" s="508" t="str">
        <x:v>Légende : population d’abeilles adultes ; nombre total de nymphes ; nymphes parasitées ; total de varroas. Flèches bleues : traiter ; traiter ?.</x:v>
      </x:c>
      <x:c r="N125" s="508" t="str">
        <x:v>Légende : population d’abeilles adultes ; nombre total de nymphes ; nymphes parasitées ; total de varroas. Flèches bleues : traiter ; traiter ?.</x:v>
      </x:c>
    </x:row>
    <x:row r="126" ht="18" customHeight="1">
      <x:c r="A126" s="498"/>
      <x:c r="B126" s="498"/>
      <x:c r="C126" s="498"/>
      <x:c r="D126" s="498"/>
      <x:c r="E126" s="498"/>
      <x:c r="F126" s="498"/>
      <x:c r="G126" s="498"/>
      <x:c r="H126" s="498"/>
      <x:c r="I126" s="508" t="str">
        <x:v>Légende : population d’abeilles adultes ; nombre total de nymphes ; nymphes parasitées ; total de varroas. Flèches bleues : traiter ; traiter ?.</x:v>
      </x:c>
      <x:c r="J126" s="508" t="str">
        <x:v>Légende : population d’abeilles adultes ; nombre total de nymphes ; nymphes parasitées ; total de varroas. Flèches bleues : traiter ; traiter ?.</x:v>
      </x:c>
      <x:c r="K126" s="508" t="str">
        <x:v>Légende : population d’abeilles adultes ; nombre total de nymphes ; nymphes parasitées ; total de varroas. Flèches bleues : traiter ; traiter ?.</x:v>
      </x:c>
      <x:c r="L126" s="508" t="str">
        <x:v>Légende : population d’abeilles adultes ; nombre total de nymphes ; nymphes parasitées ; total de varroas. Flèches bleues : traiter ; traiter ?.</x:v>
      </x:c>
      <x:c r="M126" s="508" t="str">
        <x:v>Légende : population d’abeilles adultes ; nombre total de nymphes ; nymphes parasitées ; total de varroas. Flèches bleues : traiter ; traiter ?.</x:v>
      </x:c>
      <x:c r="N126" s="508" t="str">
        <x:v>Légende : population d’abeilles adultes ; nombre total de nymphes ; nymphes parasitées ; total de varroas. Flèches bleues : traiter ; traiter ?.</x:v>
      </x:c>
    </x:row>
    <x:row r="127" ht="18" customHeight="1">
      <x:c r="A127" s="498"/>
      <x:c r="B127" s="498"/>
      <x:c r="C127" s="498"/>
      <x:c r="D127" s="498"/>
      <x:c r="E127" s="498"/>
      <x:c r="F127" s="498"/>
      <x:c r="G127" s="498"/>
      <x:c r="H127" s="498"/>
      <x:c r="I127" s="508" t="str">
        <x:v>Légende : population d’abeilles adultes ; nombre total de nymphes ; nymphes parasitées ; total de varroas. Flèches bleues : traiter ; traiter ?.</x:v>
      </x:c>
      <x:c r="J127" s="508" t="str">
        <x:v>Légende : population d’abeilles adultes ; nombre total de nymphes ; nymphes parasitées ; total de varroas. Flèches bleues : traiter ; traiter ?.</x:v>
      </x:c>
      <x:c r="K127" s="508" t="str">
        <x:v>Légende : population d’abeilles adultes ; nombre total de nymphes ; nymphes parasitées ; total de varroas. Flèches bleues : traiter ; traiter ?.</x:v>
      </x:c>
      <x:c r="L127" s="508" t="str">
        <x:v>Légende : population d’abeilles adultes ; nombre total de nymphes ; nymphes parasitées ; total de varroas. Flèches bleues : traiter ; traiter ?.</x:v>
      </x:c>
      <x:c r="M127" s="508" t="str">
        <x:v>Légende : population d’abeilles adultes ; nombre total de nymphes ; nymphes parasitées ; total de varroas. Flèches bleues : traiter ; traiter ?.</x:v>
      </x:c>
      <x:c r="N127" s="508" t="str">
        <x:v>Légende : population d’abeilles adultes ; nombre total de nymphes ; nymphes parasitées ; total de varroas. Flèches bleues : traiter ; traiter ?.</x:v>
      </x:c>
    </x:row>
    <x:row r="128" ht="18" customHeight="1">
      <x:c r="A128" s="498"/>
      <x:c r="B128" s="498"/>
      <x:c r="C128" s="498"/>
      <x:c r="D128" s="498"/>
      <x:c r="E128" s="498"/>
      <x:c r="F128" s="498"/>
      <x:c r="G128" s="498"/>
      <x:c r="H128" s="498"/>
      <x:c r="I128" s="498"/>
      <x:c r="J128" s="498"/>
      <x:c r="K128" s="498"/>
      <x:c r="L128" s="498"/>
      <x:c r="M128" s="498"/>
      <x:c r="N128" s="498"/>
    </x:row>
    <x:row r="129" ht="18" customHeight="1">
      <x:c r="A129" s="498"/>
      <x:c r="B129" s="498"/>
      <x:c r="C129" s="498"/>
      <x:c r="D129" s="498"/>
      <x:c r="E129" s="498"/>
      <x:c r="F129" s="498"/>
      <x:c r="G129" s="498"/>
      <x:c r="H129" s="498"/>
      <x:c r="I129" s="508" t="str">
        <x:v>Étapes : absence de couvain ; développement de la colonie ; essaimage ; miellée ; diminution du couvain ; dernier couvain ; absence de couvain. Mois : janvier à décembre.</x:v>
      </x:c>
      <x:c r="J129" s="508" t="str">
        <x:v>Étapes : absence de couvain ; développement de la colonie ; essaimage ; miellée ; diminution du couvain ; dernier couvain ; absence de couvain. Mois : janvier à décembre.</x:v>
      </x:c>
      <x:c r="K129" s="508" t="str">
        <x:v>Étapes : absence de couvain ; développement de la colonie ; essaimage ; miellée ; diminution du couvain ; dernier couvain ; absence de couvain. Mois : janvier à décembre.</x:v>
      </x:c>
      <x:c r="L129" s="508" t="str">
        <x:v>Étapes : absence de couvain ; développement de la colonie ; essaimage ; miellée ; diminution du couvain ; dernier couvain ; absence de couvain. Mois : janvier à décembre.</x:v>
      </x:c>
      <x:c r="M129" s="508" t="str">
        <x:v>Étapes : absence de couvain ; développement de la colonie ; essaimage ; miellée ; diminution du couvain ; dernier couvain ; absence de couvain. Mois : janvier à décembre.</x:v>
      </x:c>
      <x:c r="N129" s="508" t="str">
        <x:v>Étapes : absence de couvain ; développement de la colonie ; essaimage ; miellée ; diminution du couvain ; dernier couvain ; absence de couvain. Mois : janvier à décembre.</x:v>
      </x:c>
    </x:row>
    <x:row r="130" ht="18" customHeight="1">
      <x:c r="A130" s="498"/>
      <x:c r="B130" s="498"/>
      <x:c r="C130" s="498"/>
      <x:c r="D130" s="498"/>
      <x:c r="E130" s="498"/>
      <x:c r="F130" s="498"/>
      <x:c r="G130" s="498"/>
      <x:c r="H130" s="498"/>
      <x:c r="I130" s="508" t="str">
        <x:v>Étapes : absence de couvain ; développement de la colonie ; essaimage ; miellée ; diminution du couvain ; dernier couvain ; absence de couvain. Mois : janvier à décembre.</x:v>
      </x:c>
      <x:c r="J130" s="508" t="str">
        <x:v>Étapes : absence de couvain ; développement de la colonie ; essaimage ; miellée ; diminution du couvain ; dernier couvain ; absence de couvain. Mois : janvier à décembre.</x:v>
      </x:c>
      <x:c r="K130" s="508" t="str">
        <x:v>Étapes : absence de couvain ; développement de la colonie ; essaimage ; miellée ; diminution du couvain ; dernier couvain ; absence de couvain. Mois : janvier à décembre.</x:v>
      </x:c>
      <x:c r="L130" s="508" t="str">
        <x:v>Étapes : absence de couvain ; développement de la colonie ; essaimage ; miellée ; diminution du couvain ; dernier couvain ; absence de couvain. Mois : janvier à décembre.</x:v>
      </x:c>
      <x:c r="M130" s="508" t="str">
        <x:v>Étapes : absence de couvain ; développement de la colonie ; essaimage ; miellée ; diminution du couvain ; dernier couvain ; absence de couvain. Mois : janvier à décembre.</x:v>
      </x:c>
      <x:c r="N130" s="508" t="str">
        <x:v>Étapes : absence de couvain ; développement de la colonie ; essaimage ; miellée ; diminution du couvain ; dernier couvain ; absence de couvain. Mois : janvier à décembre.</x:v>
      </x:c>
    </x:row>
    <x:row r="131" ht="18" customHeight="1">
      <x:c r="A131" s="498"/>
      <x:c r="B131" s="498"/>
      <x:c r="C131" s="498"/>
      <x:c r="D131" s="498"/>
      <x:c r="E131" s="498"/>
      <x:c r="F131" s="498"/>
      <x:c r="G131" s="498"/>
      <x:c r="H131" s="498"/>
      <x:c r="I131" s="508" t="str">
        <x:v>Étapes : absence de couvain ; développement de la colonie ; essaimage ; miellée ; diminution du couvain ; dernier couvain ; absence de couvain. Mois : janvier à décembre.</x:v>
      </x:c>
      <x:c r="J131" s="508" t="str">
        <x:v>Étapes : absence de couvain ; développement de la colonie ; essaimage ; miellée ; diminution du couvain ; dernier couvain ; absence de couvain. Mois : janvier à décembre.</x:v>
      </x:c>
      <x:c r="K131" s="508" t="str">
        <x:v>Étapes : absence de couvain ; développement de la colonie ; essaimage ; miellée ; diminution du couvain ; dernier couvain ; absence de couvain. Mois : janvier à décembre.</x:v>
      </x:c>
      <x:c r="L131" s="508" t="str">
        <x:v>Étapes : absence de couvain ; développement de la colonie ; essaimage ; miellée ; diminution du couvain ; dernier couvain ; absence de couvain. Mois : janvier à décembre.</x:v>
      </x:c>
      <x:c r="M131" s="508" t="str">
        <x:v>Étapes : absence de couvain ; développement de la colonie ; essaimage ; miellée ; diminution du couvain ; dernier couvain ; absence de couvain. Mois : janvier à décembre.</x:v>
      </x:c>
      <x:c r="N131" s="508" t="str">
        <x:v>Étapes : absence de couvain ; développement de la colonie ; essaimage ; miellée ; diminution du couvain ; dernier couvain ; absence de couvain. Mois : janvier à décembre.</x:v>
      </x:c>
    </x:row>
    <x:row r="132" ht="18" customHeight="1">
      <x:c r="A132" s="498"/>
      <x:c r="B132" s="498"/>
      <x:c r="C132" s="498"/>
      <x:c r="D132" s="498"/>
      <x:c r="E132" s="498"/>
      <x:c r="F132" s="498"/>
      <x:c r="G132" s="498"/>
      <x:c r="H132" s="498"/>
      <x:c r="I132" s="508" t="str">
        <x:v>Étapes : absence de couvain ; développement de la colonie ; essaimage ; miellée ; diminution du couvain ; dernier couvain ; absence de couvain. Mois : janvier à décembre.</x:v>
      </x:c>
      <x:c r="J132" s="508" t="str">
        <x:v>Étapes : absence de couvain ; développement de la colonie ; essaimage ; miellée ; diminution du couvain ; dernier couvain ; absence de couvain. Mois : janvier à décembre.</x:v>
      </x:c>
      <x:c r="K132" s="508" t="str">
        <x:v>Étapes : absence de couvain ; développement de la colonie ; essaimage ; miellée ; diminution du couvain ; dernier couvain ; absence de couvain. Mois : janvier à décembre.</x:v>
      </x:c>
      <x:c r="L132" s="508" t="str">
        <x:v>Étapes : absence de couvain ; développement de la colonie ; essaimage ; miellée ; diminution du couvain ; dernier couvain ; absence de couvain. Mois : janvier à décembre.</x:v>
      </x:c>
      <x:c r="M132" s="508" t="str">
        <x:v>Étapes : absence de couvain ; développement de la colonie ; essaimage ; miellée ; diminution du couvain ; dernier couvain ; absence de couvain. Mois : janvier à décembre.</x:v>
      </x:c>
      <x:c r="N132" s="508" t="str">
        <x:v>Étapes : absence de couvain ; développement de la colonie ; essaimage ; miellée ; diminution du couvain ; dernier couvain ; absence de couvain. Mois : janvier à décembre.</x:v>
      </x:c>
    </x:row>
    <x:row r="133" ht="18" customHeight="1">
      <x:c r="A133" s="498"/>
      <x:c r="B133" s="498"/>
      <x:c r="C133" s="498"/>
      <x:c r="D133" s="498"/>
      <x:c r="E133" s="498"/>
      <x:c r="F133" s="498"/>
      <x:c r="G133" s="498"/>
      <x:c r="H133" s="498"/>
      <x:c r="I133" s="498"/>
      <x:c r="J133" s="498"/>
      <x:c r="K133" s="498"/>
      <x:c r="L133" s="498"/>
      <x:c r="M133" s="498"/>
      <x:c r="N133" s="498"/>
    </x:row>
    <x:row r="134" ht="18" customHeight="1">
      <x:c r="A134" s="498"/>
      <x:c r="B134" s="498"/>
      <x:c r="C134" s="498"/>
      <x:c r="D134" s="498"/>
      <x:c r="E134" s="498"/>
      <x:c r="F134" s="498"/>
      <x:c r="G134" s="498"/>
      <x:c r="H134" s="498"/>
      <x:c r="I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4"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35" ht="18" customHeight="1">
      <x:c r="A135" s="498"/>
      <x:c r="B135" s="498"/>
      <x:c r="C135" s="498"/>
      <x:c r="D135" s="498"/>
      <x:c r="E135" s="498"/>
      <x:c r="F135" s="498"/>
      <x:c r="G135" s="498"/>
      <x:c r="H135" s="498"/>
      <x:c r="I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5"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36" ht="18" customHeight="1">
      <x:c r="A136" s="498"/>
      <x:c r="B136" s="498"/>
      <x:c r="C136" s="498"/>
      <x:c r="D136" s="498"/>
      <x:c r="E136" s="498"/>
      <x:c r="F136" s="498"/>
      <x:c r="G136" s="498"/>
      <x:c r="H136" s="498"/>
      <x:c r="I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6"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37" ht="18" customHeight="1">
      <x:c r="A137" s="498"/>
      <x:c r="B137" s="498"/>
      <x:c r="C137" s="498"/>
      <x:c r="D137" s="498"/>
      <x:c r="E137" s="498"/>
      <x:c r="F137" s="498"/>
      <x:c r="G137" s="498"/>
      <x:c r="H137" s="498"/>
      <x:c r="I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38" ht="18" customHeight="1">
      <x:c r="A138" s="498"/>
      <x:c r="B138" s="498"/>
      <x:c r="C138" s="498"/>
      <x:c r="D138" s="498"/>
      <x:c r="E138" s="498"/>
      <x:c r="F138" s="498"/>
      <x:c r="G138" s="498"/>
      <x:c r="H138" s="498"/>
      <x:c r="I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39" ht="18" customHeight="1">
      <x:c r="A139" s="498"/>
      <x:c r="B139" s="498"/>
      <x:c r="C139" s="498"/>
      <x:c r="D139" s="498"/>
      <x:c r="E139" s="498"/>
      <x:c r="F139" s="498"/>
      <x:c r="G139" s="498"/>
      <x:c r="H139" s="498"/>
      <x:c r="I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3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40" ht="18" customHeight="1">
      <x:c r="A140" s="498"/>
      <x:c r="B140" s="498"/>
      <x:c r="C140" s="498"/>
      <x:c r="D140" s="498"/>
      <x:c r="E140" s="498"/>
      <x:c r="F140" s="498"/>
      <x:c r="G140" s="498"/>
      <x:c r="H140" s="498"/>
      <x:c r="I140" s="498"/>
      <x:c r="J140" s="498"/>
      <x:c r="K140" s="498"/>
      <x:c r="L140" s="498"/>
      <x:c r="M140" s="498"/>
      <x:c r="N140" s="498"/>
    </x:row>
    <x:row r="141" ht="18" customHeight="1">
      <x:c r="A141" s="498"/>
      <x:c r="B141" s="498"/>
      <x:c r="C141" s="498"/>
      <x:c r="D141" s="498"/>
      <x:c r="E141" s="498"/>
      <x:c r="F141" s="498"/>
      <x:c r="G141" s="498"/>
      <x:c r="H141" s="498"/>
      <x:c r="I141" s="508" t="str">
        <x:v>Cette variante emploie « acide oxalique » dans la case de production de miel, sans la précision « à libération prolongée » de la figure précédente. Le petit trait rouge près de « dernier couvain » est conservé.</x:v>
      </x:c>
      <x:c r="J141" s="508" t="str">
        <x:v>Cette variante emploie « acide oxalique » dans la case de production de miel, sans la précision « à libération prolongée » de la figure précédente. Le petit trait rouge près de « dernier couvain » est conservé.</x:v>
      </x:c>
      <x:c r="K141" s="508" t="str">
        <x:v>Cette variante emploie « acide oxalique » dans la case de production de miel, sans la précision « à libération prolongée » de la figure précédente. Le petit trait rouge près de « dernier couvain » est conservé.</x:v>
      </x:c>
      <x:c r="L141" s="508" t="str">
        <x:v>Cette variante emploie « acide oxalique » dans la case de production de miel, sans la précision « à libération prolongée » de la figure précédente. Le petit trait rouge près de « dernier couvain » est conservé.</x:v>
      </x:c>
      <x:c r="M141" s="508" t="str">
        <x:v>Cette variante emploie « acide oxalique » dans la case de production de miel, sans la précision « à libération prolongée » de la figure précédente. Le petit trait rouge près de « dernier couvain » est conservé.</x:v>
      </x:c>
      <x:c r="N141" s="508" t="str">
        <x:v>Cette variante emploie « acide oxalique » dans la case de production de miel, sans la précision « à libération prolongée » de la figure précédente. Le petit trait rouge près de « dernier couvain » est conservé.</x:v>
      </x:c>
    </x:row>
    <x:row r="142" ht="18" customHeight="1">
      <x:c r="A142" s="498"/>
      <x:c r="B142" s="498"/>
      <x:c r="C142" s="498"/>
      <x:c r="D142" s="498"/>
      <x:c r="E142" s="498"/>
      <x:c r="F142" s="498"/>
      <x:c r="G142" s="498"/>
      <x:c r="H142" s="498"/>
      <x:c r="I142" s="508" t="str">
        <x:v>Cette variante emploie « acide oxalique » dans la case de production de miel, sans la précision « à libération prolongée » de la figure précédente. Le petit trait rouge près de « dernier couvain » est conservé.</x:v>
      </x:c>
      <x:c r="J142" s="508" t="str">
        <x:v>Cette variante emploie « acide oxalique » dans la case de production de miel, sans la précision « à libération prolongée » de la figure précédente. Le petit trait rouge près de « dernier couvain » est conservé.</x:v>
      </x:c>
      <x:c r="K142" s="508" t="str">
        <x:v>Cette variante emploie « acide oxalique » dans la case de production de miel, sans la précision « à libération prolongée » de la figure précédente. Le petit trait rouge près de « dernier couvain » est conservé.</x:v>
      </x:c>
      <x:c r="L142" s="508" t="str">
        <x:v>Cette variante emploie « acide oxalique » dans la case de production de miel, sans la précision « à libération prolongée » de la figure précédente. Le petit trait rouge près de « dernier couvain » est conservé.</x:v>
      </x:c>
      <x:c r="M142" s="508" t="str">
        <x:v>Cette variante emploie « acide oxalique » dans la case de production de miel, sans la précision « à libération prolongée » de la figure précédente. Le petit trait rouge près de « dernier couvain » est conservé.</x:v>
      </x:c>
      <x:c r="N142" s="508" t="str">
        <x:v>Cette variante emploie « acide oxalique » dans la case de production de miel, sans la précision « à libération prolongée » de la figure précédente. Le petit trait rouge près de « dernier couvain » est conservé.</x:v>
      </x:c>
    </x:row>
    <x:row r="143" ht="18" customHeight="1">
      <x:c r="A143" s="498"/>
      <x:c r="B143" s="498"/>
      <x:c r="C143" s="498"/>
      <x:c r="D143" s="498"/>
      <x:c r="E143" s="498"/>
      <x:c r="F143" s="498"/>
      <x:c r="G143" s="498"/>
      <x:c r="H143" s="498"/>
      <x:c r="I143" s="508" t="str">
        <x:v>Cette variante emploie « acide oxalique » dans la case de production de miel, sans la précision « à libération prolongée » de la figure précédente. Le petit trait rouge près de « dernier couvain » est conservé.</x:v>
      </x:c>
      <x:c r="J143" s="508" t="str">
        <x:v>Cette variante emploie « acide oxalique » dans la case de production de miel, sans la précision « à libération prolongée » de la figure précédente. Le petit trait rouge près de « dernier couvain » est conservé.</x:v>
      </x:c>
      <x:c r="K143" s="508" t="str">
        <x:v>Cette variante emploie « acide oxalique » dans la case de production de miel, sans la précision « à libération prolongée » de la figure précédente. Le petit trait rouge près de « dernier couvain » est conservé.</x:v>
      </x:c>
      <x:c r="L143" s="508" t="str">
        <x:v>Cette variante emploie « acide oxalique » dans la case de production de miel, sans la précision « à libération prolongée » de la figure précédente. Le petit trait rouge près de « dernier couvain » est conservé.</x:v>
      </x:c>
      <x:c r="M143" s="508" t="str">
        <x:v>Cette variante emploie « acide oxalique » dans la case de production de miel, sans la précision « à libération prolongée » de la figure précédente. Le petit trait rouge près de « dernier couvain » est conservé.</x:v>
      </x:c>
      <x:c r="N143" s="508" t="str">
        <x:v>Cette variante emploie « acide oxalique » dans la case de production de miel, sans la précision « à libération prolongée » de la figure précédente. Le petit trait rouge près de « dernier couvain » est conservé.</x:v>
      </x:c>
    </x:row>
    <x:row r="144" ht="18" customHeight="1">
      <x:c r="A144" s="498"/>
      <x:c r="B144" s="498"/>
      <x:c r="C144" s="498"/>
      <x:c r="D144" s="498"/>
      <x:c r="E144" s="498"/>
      <x:c r="F144" s="498"/>
      <x:c r="G144" s="498"/>
      <x:c r="H144" s="498"/>
      <x:c r="I144" s="508" t="str">
        <x:v>Cette variante emploie « acide oxalique » dans la case de production de miel, sans la précision « à libération prolongée » de la figure précédente. Le petit trait rouge près de « dernier couvain » est conservé.</x:v>
      </x:c>
      <x:c r="J144" s="508" t="str">
        <x:v>Cette variante emploie « acide oxalique » dans la case de production de miel, sans la précision « à libération prolongée » de la figure précédente. Le petit trait rouge près de « dernier couvain » est conservé.</x:v>
      </x:c>
      <x:c r="K144" s="508" t="str">
        <x:v>Cette variante emploie « acide oxalique » dans la case de production de miel, sans la précision « à libération prolongée » de la figure précédente. Le petit trait rouge près de « dernier couvain » est conservé.</x:v>
      </x:c>
      <x:c r="L144" s="508" t="str">
        <x:v>Cette variante emploie « acide oxalique » dans la case de production de miel, sans la précision « à libération prolongée » de la figure précédente. Le petit trait rouge près de « dernier couvain » est conservé.</x:v>
      </x:c>
      <x:c r="M144" s="508" t="str">
        <x:v>Cette variante emploie « acide oxalique » dans la case de production de miel, sans la précision « à libération prolongée » de la figure précédente. Le petit trait rouge près de « dernier couvain » est conservé.</x:v>
      </x:c>
      <x:c r="N144" s="508" t="str">
        <x:v>Cette variante emploie « acide oxalique » dans la case de production de miel, sans la précision « à libération prolongée » de la figure précédente. Le petit trait rouge près de « dernier couvain » est conservé.</x:v>
      </x:c>
    </x:row>
    <x:row r="145" ht="18" customHeight="1">
      <x:c r="A145" s="498"/>
      <x:c r="B145" s="498"/>
      <x:c r="C145" s="498"/>
      <x:c r="D145" s="498"/>
      <x:c r="E145" s="498"/>
      <x:c r="F145" s="498"/>
      <x:c r="G145" s="498"/>
      <x:c r="H145" s="498"/>
      <x:c r="I145" s="498"/>
      <x:c r="J145" s="498"/>
      <x:c r="K145" s="498"/>
      <x:c r="L145" s="498"/>
      <x:c r="M145" s="498"/>
      <x:c r="N145" s="498"/>
    </x:row>
    <x:row r="146" ht="18" customHeight="1">
      <x:c r="A146" s="498"/>
      <x:c r="B146" s="498"/>
      <x:c r="C146" s="498"/>
      <x:c r="D146" s="498"/>
      <x:c r="E146" s="498"/>
      <x:c r="F146" s="498"/>
      <x:c r="G146" s="498"/>
      <x:c r="H146" s="498"/>
      <x:c r="I146" s="498"/>
      <x:c r="J146" s="498"/>
      <x:c r="K146" s="498"/>
      <x:c r="L146" s="498"/>
      <x:c r="M146" s="498"/>
      <x:c r="N146" s="498"/>
    </x:row>
    <x:row r="147" ht="18" customHeight="1">
      <x:c r="A147" s="498"/>
      <x:c r="B147" s="498"/>
      <x:c r="C147" s="498"/>
      <x:c r="D147" s="498"/>
      <x:c r="E147" s="498"/>
      <x:c r="F147" s="498"/>
      <x:c r="G147" s="498"/>
      <x:c r="H147" s="498"/>
      <x:c r="I147" s="498"/>
      <x:c r="J147" s="498"/>
      <x:c r="K147" s="498"/>
      <x:c r="L147" s="498"/>
      <x:c r="M147" s="498"/>
      <x:c r="N147" s="498"/>
    </x:row>
    <x:row r="148" ht="18" customHeight="1">
      <x:c r="A148" s="498"/>
      <x:c r="B148" s="525" t="str">
        <x:v>06 · Interventions selon la saison — densité ajustée</x:v>
      </x:c>
      <x:c r="C148" s="525" t="str">
        <x:v>06 · Interventions selon la saison — densité ajustée</x:v>
      </x:c>
      <x:c r="D148" s="525" t="str">
        <x:v>06 · Interventions selon la saison — densité ajustée</x:v>
      </x:c>
      <x:c r="E148" s="525" t="str">
        <x:v>06 · Interventions selon la saison — densité ajustée</x:v>
      </x:c>
      <x:c r="F148" s="525" t="str">
        <x:v>06 · Interventions selon la saison — densité ajustée</x:v>
      </x:c>
      <x:c r="G148" s="525" t="str">
        <x:v>06 · Interventions selon la saison — densité ajustée</x:v>
      </x:c>
      <x:c r="H148" s="525" t="str">
        <x:v>06 · Interventions selon la saison — densité ajustée</x:v>
      </x:c>
      <x:c r="I148" s="525" t="str">
        <x:v>06 · Interventions selon la saison — densité ajustée</x:v>
      </x:c>
      <x:c r="J148" s="525" t="str">
        <x:v>06 · Interventions selon la saison — densité ajustée</x:v>
      </x:c>
      <x:c r="K148" s="525" t="str">
        <x:v>06 · Interventions selon la saison — densité ajustée</x:v>
      </x:c>
      <x:c r="L148" s="525" t="str">
        <x:v>06 · Interventions selon la saison — densité ajustée</x:v>
      </x:c>
      <x:c r="M148" s="525" t="str">
        <x:v>06 · Interventions selon la saison — densité ajustée</x:v>
      </x:c>
      <x:c r="N148" s="525" t="str">
        <x:v>06 · Interventions selon la saison — densité ajustée</x:v>
      </x:c>
    </x:row>
    <x:row r="149" ht="18" customHeight="1">
      <x:c r="A149" s="498"/>
      <x:c r="B149" s="525" t="str">
        <x:v>06 · Interventions selon la saison — densité ajustée</x:v>
      </x:c>
      <x:c r="C149" s="525" t="str">
        <x:v>06 · Interventions selon la saison — densité ajustée</x:v>
      </x:c>
      <x:c r="D149" s="525" t="str">
        <x:v>06 · Interventions selon la saison — densité ajustée</x:v>
      </x:c>
      <x:c r="E149" s="525" t="str">
        <x:v>06 · Interventions selon la saison — densité ajustée</x:v>
      </x:c>
      <x:c r="F149" s="525" t="str">
        <x:v>06 · Interventions selon la saison — densité ajustée</x:v>
      </x:c>
      <x:c r="G149" s="525" t="str">
        <x:v>06 · Interventions selon la saison — densité ajustée</x:v>
      </x:c>
      <x:c r="H149" s="525" t="str">
        <x:v>06 · Interventions selon la saison — densité ajustée</x:v>
      </x:c>
      <x:c r="I149" s="525" t="str">
        <x:v>06 · Interventions selon la saison — densité ajustée</x:v>
      </x:c>
      <x:c r="J149" s="525" t="str">
        <x:v>06 · Interventions selon la saison — densité ajustée</x:v>
      </x:c>
      <x:c r="K149" s="525" t="str">
        <x:v>06 · Interventions selon la saison — densité ajustée</x:v>
      </x:c>
      <x:c r="L149" s="525" t="str">
        <x:v>06 · Interventions selon la saison — densité ajustée</x:v>
      </x:c>
      <x:c r="M149" s="525" t="str">
        <x:v>06 · Interventions selon la saison — densité ajustée</x:v>
      </x:c>
      <x:c r="N149" s="525" t="str">
        <x:v>06 · Interventions selon la saison — densité ajustée</x:v>
      </x:c>
    </x:row>
    <x:row r="150" ht="18" customHeight="1">
      <x:c r="A150" s="498"/>
      <x:c r="B150" s="520" t="str">
        <x:v>Densité ajustée — image 8</x:v>
      </x:c>
      <x:c r="C150" s="520" t="str">
        <x:v>Densité ajustée — image 8</x:v>
      </x:c>
      <x:c r="D150" s="520" t="str">
        <x:v>Densité ajustée — image 8</x:v>
      </x:c>
      <x:c r="E150" s="520" t="str">
        <x:v>Densité ajustée — image 8</x:v>
      </x:c>
      <x:c r="F150" s="520" t="str">
        <x:v>Densité ajustée — image 8</x:v>
      </x:c>
      <x:c r="G150" s="520" t="str">
        <x:v>Densité ajustée — image 8</x:v>
      </x:c>
      <x:c r="H150" s="520" t="str">
        <x:v>Densité ajustée — image 8</x:v>
      </x:c>
      <x:c r="I150" s="520" t="str">
        <x:v>Densité ajustée — image 8</x:v>
      </x:c>
      <x:c r="J150" s="520" t="str">
        <x:v>Densité ajustée — image 8</x:v>
      </x:c>
      <x:c r="K150" s="520" t="str">
        <x:v>Densité ajustée — image 8</x:v>
      </x:c>
      <x:c r="L150" s="520" t="str">
        <x:v>Densité ajustée — image 8</x:v>
      </x:c>
      <x:c r="M150" s="520" t="str">
        <x:v>Densité ajustée — image 8</x:v>
      </x:c>
      <x:c r="N150" s="520" t="str">
        <x:v>Densité ajustée — image 8</x:v>
      </x:c>
    </x:row>
    <x:row r="151" ht="18" customHeight="1">
      <x:c r="A151" s="498"/>
      <x:c r="B151" s="498"/>
      <x:c r="C151" s="498"/>
      <x:c r="D151" s="498"/>
      <x:c r="E151" s="498"/>
      <x:c r="F151" s="498"/>
      <x:c r="G151" s="498"/>
      <x:c r="H151" s="498"/>
      <x:c r="I151" s="498"/>
      <x:c r="J151" s="498"/>
      <x:c r="K151" s="498"/>
      <x:c r="L151" s="498"/>
      <x:c r="M151" s="498"/>
      <x:c r="N151" s="498"/>
    </x:row>
    <x:row r="152" ht="18" customHeight="1">
      <x:c r="A152" s="498"/>
      <x:c r="B152" s="498"/>
      <x:c r="C152" s="498"/>
      <x:c r="D152" s="498"/>
      <x:c r="E152" s="498"/>
      <x:c r="F152" s="498"/>
      <x:c r="G152" s="498"/>
      <x:c r="H152" s="498"/>
      <x:c r="I152" s="508" t="str">
        <x:v>Traitements adaptés au moment de la saison. Ce modèle est un travail en cours : assurez-vous d’utiliser la version la plus récente ! © ScientificBeekeeping.</x:v>
      </x:c>
      <x:c r="J152" s="508" t="str">
        <x:v>Traitements adaptés au moment de la saison. Ce modèle est un travail en cours : assurez-vous d’utiliser la version la plus récente ! © ScientificBeekeeping.</x:v>
      </x:c>
      <x:c r="K152" s="508" t="str">
        <x:v>Traitements adaptés au moment de la saison. Ce modèle est un travail en cours : assurez-vous d’utiliser la version la plus récente ! © ScientificBeekeeping.</x:v>
      </x:c>
      <x:c r="L152" s="508" t="str">
        <x:v>Traitements adaptés au moment de la saison. Ce modèle est un travail en cours : assurez-vous d’utiliser la version la plus récente ! © ScientificBeekeeping.</x:v>
      </x:c>
      <x:c r="M152" s="508" t="str">
        <x:v>Traitements adaptés au moment de la saison. Ce modèle est un travail en cours : assurez-vous d’utiliser la version la plus récente ! © ScientificBeekeeping.</x:v>
      </x:c>
      <x:c r="N152" s="508" t="str">
        <x:v>Traitements adaptés au moment de la saison. Ce modèle est un travail en cours : assurez-vous d’utiliser la version la plus récente ! © ScientificBeekeeping.</x:v>
      </x:c>
    </x:row>
    <x:row r="153" ht="18" customHeight="1">
      <x:c r="A153" s="498"/>
      <x:c r="B153" s="498"/>
      <x:c r="C153" s="498"/>
      <x:c r="D153" s="498"/>
      <x:c r="E153" s="498"/>
      <x:c r="F153" s="498"/>
      <x:c r="G153" s="498"/>
      <x:c r="H153" s="498"/>
      <x:c r="I153" s="508" t="str">
        <x:v>Traitements adaptés au moment de la saison. Ce modèle est un travail en cours : assurez-vous d’utiliser la version la plus récente ! © ScientificBeekeeping.</x:v>
      </x:c>
      <x:c r="J153" s="508" t="str">
        <x:v>Traitements adaptés au moment de la saison. Ce modèle est un travail en cours : assurez-vous d’utiliser la version la plus récente ! © ScientificBeekeeping.</x:v>
      </x:c>
      <x:c r="K153" s="508" t="str">
        <x:v>Traitements adaptés au moment de la saison. Ce modèle est un travail en cours : assurez-vous d’utiliser la version la plus récente ! © ScientificBeekeeping.</x:v>
      </x:c>
      <x:c r="L153" s="508" t="str">
        <x:v>Traitements adaptés au moment de la saison. Ce modèle est un travail en cours : assurez-vous d’utiliser la version la plus récente ! © ScientificBeekeeping.</x:v>
      </x:c>
      <x:c r="M153" s="508" t="str">
        <x:v>Traitements adaptés au moment de la saison. Ce modèle est un travail en cours : assurez-vous d’utiliser la version la plus récente ! © ScientificBeekeeping.</x:v>
      </x:c>
      <x:c r="N153" s="508" t="str">
        <x:v>Traitements adaptés au moment de la saison. Ce modèle est un travail en cours : assurez-vous d’utiliser la version la plus récente ! © ScientificBeekeeping.</x:v>
      </x:c>
    </x:row>
    <x:row r="154" ht="18" customHeight="1">
      <x:c r="A154" s="498"/>
      <x:c r="B154" s="498"/>
      <x:c r="C154" s="498"/>
      <x:c r="D154" s="498"/>
      <x:c r="E154" s="498"/>
      <x:c r="F154" s="498"/>
      <x:c r="G154" s="498"/>
      <x:c r="H154" s="498"/>
      <x:c r="I154" s="508" t="str">
        <x:v>Traitements adaptés au moment de la saison. Ce modèle est un travail en cours : assurez-vous d’utiliser la version la plus récente ! © ScientificBeekeeping.</x:v>
      </x:c>
      <x:c r="J154" s="508" t="str">
        <x:v>Traitements adaptés au moment de la saison. Ce modèle est un travail en cours : assurez-vous d’utiliser la version la plus récente ! © ScientificBeekeeping.</x:v>
      </x:c>
      <x:c r="K154" s="508" t="str">
        <x:v>Traitements adaptés au moment de la saison. Ce modèle est un travail en cours : assurez-vous d’utiliser la version la plus récente ! © ScientificBeekeeping.</x:v>
      </x:c>
      <x:c r="L154" s="508" t="str">
        <x:v>Traitements adaptés au moment de la saison. Ce modèle est un travail en cours : assurez-vous d’utiliser la version la plus récente ! © ScientificBeekeeping.</x:v>
      </x:c>
      <x:c r="M154" s="508" t="str">
        <x:v>Traitements adaptés au moment de la saison. Ce modèle est un travail en cours : assurez-vous d’utiliser la version la plus récente ! © ScientificBeekeeping.</x:v>
      </x:c>
      <x:c r="N154" s="508" t="str">
        <x:v>Traitements adaptés au moment de la saison. Ce modèle est un travail en cours : assurez-vous d’utiliser la version la plus récente ! © ScientificBeekeeping.</x:v>
      </x:c>
    </x:row>
    <x:row r="155" ht="18" customHeight="1">
      <x:c r="A155" s="498"/>
      <x:c r="B155" s="498"/>
      <x:c r="C155" s="498"/>
      <x:c r="D155" s="498"/>
      <x:c r="E155" s="498"/>
      <x:c r="F155" s="498"/>
      <x:c r="G155" s="498"/>
      <x:c r="H155" s="498"/>
      <x:c r="I155" s="508" t="str">
        <x:v>Traitements adaptés au moment de la saison. Ce modèle est un travail en cours : assurez-vous d’utiliser la version la plus récente ! © ScientificBeekeeping.</x:v>
      </x:c>
      <x:c r="J155" s="508" t="str">
        <x:v>Traitements adaptés au moment de la saison. Ce modèle est un travail en cours : assurez-vous d’utiliser la version la plus récente ! © ScientificBeekeeping.</x:v>
      </x:c>
      <x:c r="K155" s="508" t="str">
        <x:v>Traitements adaptés au moment de la saison. Ce modèle est un travail en cours : assurez-vous d’utiliser la version la plus récente ! © ScientificBeekeeping.</x:v>
      </x:c>
      <x:c r="L155" s="508" t="str">
        <x:v>Traitements adaptés au moment de la saison. Ce modèle est un travail en cours : assurez-vous d’utiliser la version la plus récente ! © ScientificBeekeeping.</x:v>
      </x:c>
      <x:c r="M155" s="508" t="str">
        <x:v>Traitements adaptés au moment de la saison. Ce modèle est un travail en cours : assurez-vous d’utiliser la version la plus récente ! © ScientificBeekeeping.</x:v>
      </x:c>
      <x:c r="N155" s="508" t="str">
        <x:v>Traitements adaptés au moment de la saison. Ce modèle est un travail en cours : assurez-vous d’utiliser la version la plus récente ! © ScientificBeekeeping.</x:v>
      </x:c>
    </x:row>
    <x:row r="156" ht="18" customHeight="1">
      <x:c r="A156" s="498"/>
      <x:c r="B156" s="498"/>
      <x:c r="C156" s="498"/>
      <x:c r="D156" s="498"/>
      <x:c r="E156" s="498"/>
      <x:c r="F156" s="498"/>
      <x:c r="G156" s="498"/>
      <x:c r="H156" s="498"/>
      <x:c r="I156" s="498"/>
      <x:c r="J156" s="498"/>
      <x:c r="K156" s="498"/>
      <x:c r="L156" s="498"/>
      <x:c r="M156" s="498"/>
      <x:c r="N156" s="498"/>
    </x:row>
    <x:row r="157" ht="18" customHeight="1">
      <x:c r="A157" s="498"/>
      <x:c r="B157" s="498"/>
      <x:c r="C157" s="498"/>
      <x:c r="D157" s="498"/>
      <x:c r="E157" s="498"/>
      <x:c r="F157" s="498"/>
      <x:c r="G157" s="498"/>
      <x:c r="H157" s="498"/>
      <x:c r="I157" s="508" t="str">
        <x:v>Légende : population d’abeilles adultes ; nombre total de nymphes ; nymphes parasitées ; total de varroas. Flèches bleues : traiter ; traiter ?.</x:v>
      </x:c>
      <x:c r="J157" s="508" t="str">
        <x:v>Légende : population d’abeilles adultes ; nombre total de nymphes ; nymphes parasitées ; total de varroas. Flèches bleues : traiter ; traiter ?.</x:v>
      </x:c>
      <x:c r="K157" s="508" t="str">
        <x:v>Légende : population d’abeilles adultes ; nombre total de nymphes ; nymphes parasitées ; total de varroas. Flèches bleues : traiter ; traiter ?.</x:v>
      </x:c>
      <x:c r="L157" s="508" t="str">
        <x:v>Légende : population d’abeilles adultes ; nombre total de nymphes ; nymphes parasitées ; total de varroas. Flèches bleues : traiter ; traiter ?.</x:v>
      </x:c>
      <x:c r="M157" s="508" t="str">
        <x:v>Légende : population d’abeilles adultes ; nombre total de nymphes ; nymphes parasitées ; total de varroas. Flèches bleues : traiter ; traiter ?.</x:v>
      </x:c>
      <x:c r="N157" s="508" t="str">
        <x:v>Légende : population d’abeilles adultes ; nombre total de nymphes ; nymphes parasitées ; total de varroas. Flèches bleues : traiter ; traiter ?.</x:v>
      </x:c>
    </x:row>
    <x:row r="158" ht="18" customHeight="1">
      <x:c r="A158" s="498"/>
      <x:c r="B158" s="498"/>
      <x:c r="C158" s="498"/>
      <x:c r="D158" s="498"/>
      <x:c r="E158" s="498"/>
      <x:c r="F158" s="498"/>
      <x:c r="G158" s="498"/>
      <x:c r="H158" s="498"/>
      <x:c r="I158" s="508" t="str">
        <x:v>Légende : population d’abeilles adultes ; nombre total de nymphes ; nymphes parasitées ; total de varroas. Flèches bleues : traiter ; traiter ?.</x:v>
      </x:c>
      <x:c r="J158" s="508" t="str">
        <x:v>Légende : population d’abeilles adultes ; nombre total de nymphes ; nymphes parasitées ; total de varroas. Flèches bleues : traiter ; traiter ?.</x:v>
      </x:c>
      <x:c r="K158" s="508" t="str">
        <x:v>Légende : population d’abeilles adultes ; nombre total de nymphes ; nymphes parasitées ; total de varroas. Flèches bleues : traiter ; traiter ?.</x:v>
      </x:c>
      <x:c r="L158" s="508" t="str">
        <x:v>Légende : population d’abeilles adultes ; nombre total de nymphes ; nymphes parasitées ; total de varroas. Flèches bleues : traiter ; traiter ?.</x:v>
      </x:c>
      <x:c r="M158" s="508" t="str">
        <x:v>Légende : population d’abeilles adultes ; nombre total de nymphes ; nymphes parasitées ; total de varroas. Flèches bleues : traiter ; traiter ?.</x:v>
      </x:c>
      <x:c r="N158" s="508" t="str">
        <x:v>Légende : population d’abeilles adultes ; nombre total de nymphes ; nymphes parasitées ; total de varroas. Flèches bleues : traiter ; traiter ?.</x:v>
      </x:c>
    </x:row>
    <x:row r="159" ht="18" customHeight="1">
      <x:c r="A159" s="498"/>
      <x:c r="B159" s="498"/>
      <x:c r="C159" s="498"/>
      <x:c r="D159" s="498"/>
      <x:c r="E159" s="498"/>
      <x:c r="F159" s="498"/>
      <x:c r="G159" s="498"/>
      <x:c r="H159" s="498"/>
      <x:c r="I159" s="508" t="str">
        <x:v>Légende : population d’abeilles adultes ; nombre total de nymphes ; nymphes parasitées ; total de varroas. Flèches bleues : traiter ; traiter ?.</x:v>
      </x:c>
      <x:c r="J159" s="508" t="str">
        <x:v>Légende : population d’abeilles adultes ; nombre total de nymphes ; nymphes parasitées ; total de varroas. Flèches bleues : traiter ; traiter ?.</x:v>
      </x:c>
      <x:c r="K159" s="508" t="str">
        <x:v>Légende : population d’abeilles adultes ; nombre total de nymphes ; nymphes parasitées ; total de varroas. Flèches bleues : traiter ; traiter ?.</x:v>
      </x:c>
      <x:c r="L159" s="508" t="str">
        <x:v>Légende : population d’abeilles adultes ; nombre total de nymphes ; nymphes parasitées ; total de varroas. Flèches bleues : traiter ; traiter ?.</x:v>
      </x:c>
      <x:c r="M159" s="508" t="str">
        <x:v>Légende : population d’abeilles adultes ; nombre total de nymphes ; nymphes parasitées ; total de varroas. Flèches bleues : traiter ; traiter ?.</x:v>
      </x:c>
      <x:c r="N159" s="508" t="str">
        <x:v>Légende : population d’abeilles adultes ; nombre total de nymphes ; nymphes parasitées ; total de varroas. Flèches bleues : traiter ; traiter ?.</x:v>
      </x:c>
    </x:row>
    <x:row r="160" ht="18" customHeight="1">
      <x:c r="A160" s="498"/>
      <x:c r="B160" s="498"/>
      <x:c r="C160" s="498"/>
      <x:c r="D160" s="498"/>
      <x:c r="E160" s="498"/>
      <x:c r="F160" s="498"/>
      <x:c r="G160" s="498"/>
      <x:c r="H160" s="498"/>
      <x:c r="I160" s="508" t="str">
        <x:v>Légende : population d’abeilles adultes ; nombre total de nymphes ; nymphes parasitées ; total de varroas. Flèches bleues : traiter ; traiter ?.</x:v>
      </x:c>
      <x:c r="J160" s="508" t="str">
        <x:v>Légende : population d’abeilles adultes ; nombre total de nymphes ; nymphes parasitées ; total de varroas. Flèches bleues : traiter ; traiter ?.</x:v>
      </x:c>
      <x:c r="K160" s="508" t="str">
        <x:v>Légende : population d’abeilles adultes ; nombre total de nymphes ; nymphes parasitées ; total de varroas. Flèches bleues : traiter ; traiter ?.</x:v>
      </x:c>
      <x:c r="L160" s="508" t="str">
        <x:v>Légende : population d’abeilles adultes ; nombre total de nymphes ; nymphes parasitées ; total de varroas. Flèches bleues : traiter ; traiter ?.</x:v>
      </x:c>
      <x:c r="M160" s="508" t="str">
        <x:v>Légende : population d’abeilles adultes ; nombre total de nymphes ; nymphes parasitées ; total de varroas. Flèches bleues : traiter ; traiter ?.</x:v>
      </x:c>
      <x:c r="N160" s="508" t="str">
        <x:v>Légende : population d’abeilles adultes ; nombre total de nymphes ; nymphes parasitées ; total de varroas. Flèches bleues : traiter ; traiter ?.</x:v>
      </x:c>
    </x:row>
    <x:row r="161" ht="18" customHeight="1">
      <x:c r="A161" s="498"/>
      <x:c r="B161" s="498"/>
      <x:c r="C161" s="498"/>
      <x:c r="D161" s="498"/>
      <x:c r="E161" s="498"/>
      <x:c r="F161" s="498"/>
      <x:c r="G161" s="498"/>
      <x:c r="H161" s="498"/>
      <x:c r="I161" s="498"/>
      <x:c r="J161" s="498"/>
      <x:c r="K161" s="498"/>
      <x:c r="L161" s="498"/>
      <x:c r="M161" s="498"/>
      <x:c r="N161" s="498"/>
    </x:row>
    <x:row r="162" ht="18" customHeight="1">
      <x:c r="A162" s="498"/>
      <x:c r="B162" s="498"/>
      <x:c r="C162" s="498"/>
      <x:c r="D162" s="498"/>
      <x:c r="E162" s="498"/>
      <x:c r="F162" s="498"/>
      <x:c r="G162" s="498"/>
      <x:c r="H162" s="498"/>
      <x:c r="I162" s="508" t="str">
        <x:v>Étapes : absence de couvain ; développement de la colonie ; essaimage ; miellée ; diminution du couvain ; dernier couvain ; absence de couvain. Mois : janvier à décembre.</x:v>
      </x:c>
      <x:c r="J162" s="508" t="str">
        <x:v>Étapes : absence de couvain ; développement de la colonie ; essaimage ; miellée ; diminution du couvain ; dernier couvain ; absence de couvain. Mois : janvier à décembre.</x:v>
      </x:c>
      <x:c r="K162" s="508" t="str">
        <x:v>Étapes : absence de couvain ; développement de la colonie ; essaimage ; miellée ; diminution du couvain ; dernier couvain ; absence de couvain. Mois : janvier à décembre.</x:v>
      </x:c>
      <x:c r="L162" s="508" t="str">
        <x:v>Étapes : absence de couvain ; développement de la colonie ; essaimage ; miellée ; diminution du couvain ; dernier couvain ; absence de couvain. Mois : janvier à décembre.</x:v>
      </x:c>
      <x:c r="M162" s="508" t="str">
        <x:v>Étapes : absence de couvain ; développement de la colonie ; essaimage ; miellée ; diminution du couvain ; dernier couvain ; absence de couvain. Mois : janvier à décembre.</x:v>
      </x:c>
      <x:c r="N162" s="508" t="str">
        <x:v>Étapes : absence de couvain ; développement de la colonie ; essaimage ; miellée ; diminution du couvain ; dernier couvain ; absence de couvain. Mois : janvier à décembre.</x:v>
      </x:c>
    </x:row>
    <x:row r="163" ht="18" customHeight="1">
      <x:c r="A163" s="498"/>
      <x:c r="B163" s="498"/>
      <x:c r="C163" s="498"/>
      <x:c r="D163" s="498"/>
      <x:c r="E163" s="498"/>
      <x:c r="F163" s="498"/>
      <x:c r="G163" s="498"/>
      <x:c r="H163" s="498"/>
      <x:c r="I163" s="508" t="str">
        <x:v>Étapes : absence de couvain ; développement de la colonie ; essaimage ; miellée ; diminution du couvain ; dernier couvain ; absence de couvain. Mois : janvier à décembre.</x:v>
      </x:c>
      <x:c r="J163" s="508" t="str">
        <x:v>Étapes : absence de couvain ; développement de la colonie ; essaimage ; miellée ; diminution du couvain ; dernier couvain ; absence de couvain. Mois : janvier à décembre.</x:v>
      </x:c>
      <x:c r="K163" s="508" t="str">
        <x:v>Étapes : absence de couvain ; développement de la colonie ; essaimage ; miellée ; diminution du couvain ; dernier couvain ; absence de couvain. Mois : janvier à décembre.</x:v>
      </x:c>
      <x:c r="L163" s="508" t="str">
        <x:v>Étapes : absence de couvain ; développement de la colonie ; essaimage ; miellée ; diminution du couvain ; dernier couvain ; absence de couvain. Mois : janvier à décembre.</x:v>
      </x:c>
      <x:c r="M163" s="508" t="str">
        <x:v>Étapes : absence de couvain ; développement de la colonie ; essaimage ; miellée ; diminution du couvain ; dernier couvain ; absence de couvain. Mois : janvier à décembre.</x:v>
      </x:c>
      <x:c r="N163" s="508" t="str">
        <x:v>Étapes : absence de couvain ; développement de la colonie ; essaimage ; miellée ; diminution du couvain ; dernier couvain ; absence de couvain. Mois : janvier à décembre.</x:v>
      </x:c>
    </x:row>
    <x:row r="164" ht="18" customHeight="1">
      <x:c r="A164" s="498"/>
      <x:c r="B164" s="498"/>
      <x:c r="C164" s="498"/>
      <x:c r="D164" s="498"/>
      <x:c r="E164" s="498"/>
      <x:c r="F164" s="498"/>
      <x:c r="G164" s="498"/>
      <x:c r="H164" s="498"/>
      <x:c r="I164" s="508" t="str">
        <x:v>Étapes : absence de couvain ; développement de la colonie ; essaimage ; miellée ; diminution du couvain ; dernier couvain ; absence de couvain. Mois : janvier à décembre.</x:v>
      </x:c>
      <x:c r="J164" s="508" t="str">
        <x:v>Étapes : absence de couvain ; développement de la colonie ; essaimage ; miellée ; diminution du couvain ; dernier couvain ; absence de couvain. Mois : janvier à décembre.</x:v>
      </x:c>
      <x:c r="K164" s="508" t="str">
        <x:v>Étapes : absence de couvain ; développement de la colonie ; essaimage ; miellée ; diminution du couvain ; dernier couvain ; absence de couvain. Mois : janvier à décembre.</x:v>
      </x:c>
      <x:c r="L164" s="508" t="str">
        <x:v>Étapes : absence de couvain ; développement de la colonie ; essaimage ; miellée ; diminution du couvain ; dernier couvain ; absence de couvain. Mois : janvier à décembre.</x:v>
      </x:c>
      <x:c r="M164" s="508" t="str">
        <x:v>Étapes : absence de couvain ; développement de la colonie ; essaimage ; miellée ; diminution du couvain ; dernier couvain ; absence de couvain. Mois : janvier à décembre.</x:v>
      </x:c>
      <x:c r="N164" s="508" t="str">
        <x:v>Étapes : absence de couvain ; développement de la colonie ; essaimage ; miellée ; diminution du couvain ; dernier couvain ; absence de couvain. Mois : janvier à décembre.</x:v>
      </x:c>
    </x:row>
    <x:row r="165" ht="18" customHeight="1">
      <x:c r="A165" s="498"/>
      <x:c r="B165" s="498"/>
      <x:c r="C165" s="498"/>
      <x:c r="D165" s="498"/>
      <x:c r="E165" s="498"/>
      <x:c r="F165" s="498"/>
      <x:c r="G165" s="498"/>
      <x:c r="H165" s="498"/>
      <x:c r="I165" s="508" t="str">
        <x:v>Étapes : absence de couvain ; développement de la colonie ; essaimage ; miellée ; diminution du couvain ; dernier couvain ; absence de couvain. Mois : janvier à décembre.</x:v>
      </x:c>
      <x:c r="J165" s="508" t="str">
        <x:v>Étapes : absence de couvain ; développement de la colonie ; essaimage ; miellée ; diminution du couvain ; dernier couvain ; absence de couvain. Mois : janvier à décembre.</x:v>
      </x:c>
      <x:c r="K165" s="508" t="str">
        <x:v>Étapes : absence de couvain ; développement de la colonie ; essaimage ; miellée ; diminution du couvain ; dernier couvain ; absence de couvain. Mois : janvier à décembre.</x:v>
      </x:c>
      <x:c r="L165" s="508" t="str">
        <x:v>Étapes : absence de couvain ; développement de la colonie ; essaimage ; miellée ; diminution du couvain ; dernier couvain ; absence de couvain. Mois : janvier à décembre.</x:v>
      </x:c>
      <x:c r="M165" s="508" t="str">
        <x:v>Étapes : absence de couvain ; développement de la colonie ; essaimage ; miellée ; diminution du couvain ; dernier couvain ; absence de couvain. Mois : janvier à décembre.</x:v>
      </x:c>
      <x:c r="N165" s="508" t="str">
        <x:v>Étapes : absence de couvain ; développement de la colonie ; essaimage ; miellée ; diminution du couvain ; dernier couvain ; absence de couvain. Mois : janvier à décembre.</x:v>
      </x:c>
    </x:row>
    <x:row r="166" ht="18" customHeight="1">
      <x:c r="A166" s="498"/>
      <x:c r="B166" s="498"/>
      <x:c r="C166" s="498"/>
      <x:c r="D166" s="498"/>
      <x:c r="E166" s="498"/>
      <x:c r="F166" s="498"/>
      <x:c r="G166" s="498"/>
      <x:c r="H166" s="498"/>
      <x:c r="I166" s="498"/>
      <x:c r="J166" s="498"/>
      <x:c r="K166" s="498"/>
      <x:c r="L166" s="498"/>
      <x:c r="M166" s="498"/>
      <x:c r="N166" s="498"/>
    </x:row>
    <x:row r="167" ht="18" customHeight="1">
      <x:c r="A167" s="498"/>
      <x:c r="B167" s="498"/>
      <x:c r="C167" s="498"/>
      <x:c r="D167" s="498"/>
      <x:c r="E167" s="498"/>
      <x:c r="F167" s="498"/>
      <x:c r="G167" s="498"/>
      <x:c r="H167" s="498"/>
      <x:c r="I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67"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68" ht="18" customHeight="1">
      <x:c r="A168" s="498"/>
      <x:c r="B168" s="498"/>
      <x:c r="C168" s="498"/>
      <x:c r="D168" s="498"/>
      <x:c r="E168" s="498"/>
      <x:c r="F168" s="498"/>
      <x:c r="G168" s="498"/>
      <x:c r="H168" s="498"/>
      <x:c r="I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68"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69" ht="18" customHeight="1">
      <x:c r="A169" s="498"/>
      <x:c r="B169" s="498"/>
      <x:c r="C169" s="498"/>
      <x:c r="D169" s="498"/>
      <x:c r="E169" s="498"/>
      <x:c r="F169" s="498"/>
      <x:c r="G169" s="498"/>
      <x:c r="H169" s="498"/>
      <x:c r="I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69"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70" ht="18" customHeight="1">
      <x:c r="A170" s="498"/>
      <x:c r="B170" s="498"/>
      <x:c r="C170" s="498"/>
      <x:c r="D170" s="498"/>
      <x:c r="E170" s="498"/>
      <x:c r="F170" s="498"/>
      <x:c r="G170" s="498"/>
      <x:c r="H170" s="498"/>
      <x:c r="I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70"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71" ht="18" customHeight="1">
      <x:c r="A171" s="498"/>
      <x:c r="B171" s="498"/>
      <x:c r="C171" s="498"/>
      <x:c r="D171" s="498"/>
      <x:c r="E171" s="498"/>
      <x:c r="F171" s="498"/>
      <x:c r="G171" s="498"/>
      <x:c r="H171" s="498"/>
      <x:c r="I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71"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72" ht="18" customHeight="1">
      <x:c r="A172" s="498"/>
      <x:c r="B172" s="498"/>
      <x:c r="C172" s="498"/>
      <x:c r="D172" s="498"/>
      <x:c r="E172" s="498"/>
      <x:c r="F172" s="498"/>
      <x:c r="G172" s="498"/>
      <x:c r="H172" s="498"/>
      <x:c r="I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J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K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L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M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c r="N172" s="508" t="str">
        <x:v>Cases du bas, de gauche à droite : acide oxalique par dégouttement ou sublimation ; acide formique, HopGuard, amitraz ; acide formique, thymol ? ; production de miel : acide formique, HopGuard, acide oxalique ; thymol, acide formique ? ; aucun traitement ; acide oxalique par dégouttement ou sublimation.</x:v>
      </x:c>
    </x:row>
    <x:row r="173" ht="18" customHeight="1">
      <x:c r="A173" s="498"/>
      <x:c r="B173" s="498"/>
      <x:c r="C173" s="498"/>
      <x:c r="D173" s="498"/>
      <x:c r="E173" s="498"/>
      <x:c r="F173" s="498"/>
      <x:c r="G173" s="498"/>
      <x:c r="H173" s="498"/>
      <x:c r="I173" s="498"/>
      <x:c r="J173" s="498"/>
      <x:c r="K173" s="498"/>
      <x:c r="L173" s="498"/>
      <x:c r="M173" s="498"/>
      <x:c r="N173" s="498"/>
    </x:row>
    <x:row r="174" ht="18" customHeight="1">
      <x:c r="A174" s="498"/>
      <x:c r="B174" s="498"/>
      <x:c r="C174" s="498"/>
      <x:c r="D174" s="498"/>
      <x:c r="E174" s="498"/>
      <x:c r="F174" s="498"/>
      <x:c r="G174" s="498"/>
      <x:c r="H174" s="498"/>
      <x:c r="I174" s="508" t="str">
        <x:v>Les indications sont traduites telles qu’elles figurent dans cette variante du classeur.</x:v>
      </x:c>
      <x:c r="J174" s="508" t="str">
        <x:v>Les indications sont traduites telles qu’elles figurent dans cette variante du classeur.</x:v>
      </x:c>
      <x:c r="K174" s="508" t="str">
        <x:v>Les indications sont traduites telles qu’elles figurent dans cette variante du classeur.</x:v>
      </x:c>
      <x:c r="L174" s="508" t="str">
        <x:v>Les indications sont traduites telles qu’elles figurent dans cette variante du classeur.</x:v>
      </x:c>
      <x:c r="M174" s="508" t="str">
        <x:v>Les indications sont traduites telles qu’elles figurent dans cette variante du classeur.</x:v>
      </x:c>
      <x:c r="N174" s="508" t="str">
        <x:v>Les indications sont traduites telles qu’elles figurent dans cette variante du classeur.</x:v>
      </x:c>
    </x:row>
    <x:row r="175" ht="18" customHeight="1">
      <x:c r="A175" s="498"/>
      <x:c r="B175" s="498"/>
      <x:c r="C175" s="498"/>
      <x:c r="D175" s="498"/>
      <x:c r="E175" s="498"/>
      <x:c r="F175" s="498"/>
      <x:c r="G175" s="498"/>
      <x:c r="H175" s="498"/>
      <x:c r="I175" s="508" t="str">
        <x:v>Les indications sont traduites telles qu’elles figurent dans cette variante du classeur.</x:v>
      </x:c>
      <x:c r="J175" s="508" t="str">
        <x:v>Les indications sont traduites telles qu’elles figurent dans cette variante du classeur.</x:v>
      </x:c>
      <x:c r="K175" s="508" t="str">
        <x:v>Les indications sont traduites telles qu’elles figurent dans cette variante du classeur.</x:v>
      </x:c>
      <x:c r="L175" s="508" t="str">
        <x:v>Les indications sont traduites telles qu’elles figurent dans cette variante du classeur.</x:v>
      </x:c>
      <x:c r="M175" s="508" t="str">
        <x:v>Les indications sont traduites telles qu’elles figurent dans cette variante du classeur.</x:v>
      </x:c>
      <x:c r="N175" s="508" t="str">
        <x:v>Les indications sont traduites telles qu’elles figurent dans cette variante du classeur.</x:v>
      </x:c>
    </x:row>
    <x:row r="176" ht="18" customHeight="1">
      <x:c r="A176" s="498"/>
      <x:c r="B176" s="498"/>
      <x:c r="C176" s="498"/>
      <x:c r="D176" s="498"/>
      <x:c r="E176" s="498"/>
      <x:c r="F176" s="498"/>
      <x:c r="G176" s="498"/>
      <x:c r="H176" s="498"/>
      <x:c r="I176" s="508" t="str">
        <x:v>Les indications sont traduites telles qu’elles figurent dans cette variante du classeur.</x:v>
      </x:c>
      <x:c r="J176" s="508" t="str">
        <x:v>Les indications sont traduites telles qu’elles figurent dans cette variante du classeur.</x:v>
      </x:c>
      <x:c r="K176" s="508" t="str">
        <x:v>Les indications sont traduites telles qu’elles figurent dans cette variante du classeur.</x:v>
      </x:c>
      <x:c r="L176" s="508" t="str">
        <x:v>Les indications sont traduites telles qu’elles figurent dans cette variante du classeur.</x:v>
      </x:c>
      <x:c r="M176" s="508" t="str">
        <x:v>Les indications sont traduites telles qu’elles figurent dans cette variante du classeur.</x:v>
      </x:c>
      <x:c r="N176" s="508" t="str">
        <x:v>Les indications sont traduites telles qu’elles figurent dans cette variante du classeur.</x:v>
      </x:c>
    </x:row>
    <x:row r="177" ht="18" customHeight="1">
      <x:c r="A177" s="498"/>
      <x:c r="B177" s="498"/>
      <x:c r="C177" s="498"/>
      <x:c r="D177" s="498"/>
      <x:c r="E177" s="498"/>
      <x:c r="F177" s="498"/>
      <x:c r="G177" s="498"/>
      <x:c r="H177" s="498"/>
      <x:c r="I177" s="498"/>
      <x:c r="J177" s="498"/>
      <x:c r="K177" s="498"/>
      <x:c r="L177" s="498"/>
      <x:c r="M177" s="498"/>
      <x:c r="N177" s="498"/>
    </x:row>
    <x:row r="178" ht="18" customHeight="1">
      <x:c r="A178" s="498"/>
      <x:c r="B178" s="498"/>
      <x:c r="C178" s="498"/>
      <x:c r="D178" s="498"/>
      <x:c r="E178" s="498"/>
      <x:c r="F178" s="498"/>
      <x:c r="G178" s="498"/>
      <x:c r="H178" s="498"/>
      <x:c r="I178" s="498"/>
      <x:c r="J178" s="498"/>
      <x:c r="K178" s="498"/>
      <x:c r="L178" s="498"/>
      <x:c r="M178" s="498"/>
      <x:c r="N178" s="498"/>
    </x:row>
    <x:row r="179" ht="18" customHeight="1">
      <x:c r="A179" s="498"/>
      <x:c r="B179" s="498"/>
      <x:c r="C179" s="498"/>
      <x:c r="D179" s="498"/>
      <x:c r="E179" s="498"/>
      <x:c r="F179" s="498"/>
      <x:c r="G179" s="498"/>
      <x:c r="H179" s="498"/>
      <x:c r="I179" s="498"/>
      <x:c r="J179" s="498"/>
      <x:c r="K179" s="498"/>
      <x:c r="L179" s="498"/>
      <x:c r="M179" s="498"/>
      <x:c r="N179" s="498"/>
    </x:row>
    <x:row r="180" ht="18" customHeight="1">
      <x:c r="A180" s="498"/>
      <x:c r="B180" s="525" t="str">
        <x:v>07 · Estimer la couverture de couvain</x:v>
      </x:c>
      <x:c r="C180" s="525" t="str">
        <x:v>07 · Estimer la couverture de couvain</x:v>
      </x:c>
      <x:c r="D180" s="525" t="str">
        <x:v>07 · Estimer la couverture de couvain</x:v>
      </x:c>
      <x:c r="E180" s="525" t="str">
        <x:v>07 · Estimer la couverture de couvain</x:v>
      </x:c>
      <x:c r="F180" s="525" t="str">
        <x:v>07 · Estimer la couverture de couvain</x:v>
      </x:c>
      <x:c r="G180" s="525" t="str">
        <x:v>07 · Estimer la couverture de couvain</x:v>
      </x:c>
      <x:c r="H180" s="525" t="str">
        <x:v>07 · Estimer la couverture de couvain</x:v>
      </x:c>
      <x:c r="I180" s="525" t="str">
        <x:v>07 · Estimer la couverture de couvain</x:v>
      </x:c>
      <x:c r="J180" s="525" t="str">
        <x:v>07 · Estimer la couverture de couvain</x:v>
      </x:c>
      <x:c r="K180" s="525" t="str">
        <x:v>07 · Estimer la couverture de couvain</x:v>
      </x:c>
      <x:c r="L180" s="525" t="str">
        <x:v>07 · Estimer la couverture de couvain</x:v>
      </x:c>
      <x:c r="M180" s="525" t="str">
        <x:v>07 · Estimer la couverture de couvain</x:v>
      </x:c>
      <x:c r="N180" s="525" t="str">
        <x:v>07 · Estimer la couverture de couvain</x:v>
      </x:c>
    </x:row>
    <x:row r="181" ht="18" customHeight="1">
      <x:c r="A181" s="498"/>
      <x:c r="B181" s="525" t="str">
        <x:v>07 · Estimer la couverture de couvain</x:v>
      </x:c>
      <x:c r="C181" s="525" t="str">
        <x:v>07 · Estimer la couverture de couvain</x:v>
      </x:c>
      <x:c r="D181" s="525" t="str">
        <x:v>07 · Estimer la couverture de couvain</x:v>
      </x:c>
      <x:c r="E181" s="525" t="str">
        <x:v>07 · Estimer la couverture de couvain</x:v>
      </x:c>
      <x:c r="F181" s="525" t="str">
        <x:v>07 · Estimer la couverture de couvain</x:v>
      </x:c>
      <x:c r="G181" s="525" t="str">
        <x:v>07 · Estimer la couverture de couvain</x:v>
      </x:c>
      <x:c r="H181" s="525" t="str">
        <x:v>07 · Estimer la couverture de couvain</x:v>
      </x:c>
      <x:c r="I181" s="525" t="str">
        <x:v>07 · Estimer la couverture de couvain</x:v>
      </x:c>
      <x:c r="J181" s="525" t="str">
        <x:v>07 · Estimer la couverture de couvain</x:v>
      </x:c>
      <x:c r="K181" s="525" t="str">
        <x:v>07 · Estimer la couverture de couvain</x:v>
      </x:c>
      <x:c r="L181" s="525" t="str">
        <x:v>07 · Estimer la couverture de couvain</x:v>
      </x:c>
      <x:c r="M181" s="525" t="str">
        <x:v>07 · Estimer la couverture de couvain</x:v>
      </x:c>
      <x:c r="N181" s="525" t="str">
        <x:v>07 · Estimer la couverture de couvain</x:v>
      </x:c>
    </x:row>
    <x:row r="182" ht="18" customHeight="1">
      <x:c r="A182" s="498"/>
      <x:c r="B182" s="520" t="str">
        <x:v>Profils de colonie — image 9</x:v>
      </x:c>
      <x:c r="C182" s="520" t="str">
        <x:v>Profils de colonie — image 9</x:v>
      </x:c>
      <x:c r="D182" s="520" t="str">
        <x:v>Profils de colonie — image 9</x:v>
      </x:c>
      <x:c r="E182" s="520" t="str">
        <x:v>Profils de colonie — image 9</x:v>
      </x:c>
      <x:c r="F182" s="520" t="str">
        <x:v>Profils de colonie — image 9</x:v>
      </x:c>
      <x:c r="G182" s="520" t="str">
        <x:v>Profils de colonie — image 9</x:v>
      </x:c>
      <x:c r="H182" s="520" t="str">
        <x:v>Profils de colonie — image 9</x:v>
      </x:c>
      <x:c r="I182" s="520" t="str">
        <x:v>Profils de colonie — image 9</x:v>
      </x:c>
      <x:c r="J182" s="520" t="str">
        <x:v>Profils de colonie — image 9</x:v>
      </x:c>
      <x:c r="K182" s="520" t="str">
        <x:v>Profils de colonie — image 9</x:v>
      </x:c>
      <x:c r="L182" s="520" t="str">
        <x:v>Profils de colonie — image 9</x:v>
      </x:c>
      <x:c r="M182" s="520" t="str">
        <x:v>Profils de colonie — image 9</x:v>
      </x:c>
      <x:c r="N182" s="520" t="str">
        <x:v>Profils de colonie — image 9</x:v>
      </x:c>
    </x:row>
    <x:row r="183" ht="18" customHeight="1">
      <x:c r="A183" s="498"/>
      <x:c r="B183" s="498"/>
      <x:c r="C183" s="498"/>
      <x:c r="D183" s="498"/>
      <x:c r="E183" s="498"/>
      <x:c r="F183" s="498"/>
      <x:c r="G183" s="498"/>
      <x:c r="H183" s="498"/>
      <x:c r="I183" s="498"/>
      <x:c r="J183" s="498"/>
      <x:c r="K183" s="498"/>
      <x:c r="L183" s="498"/>
      <x:c r="M183" s="498"/>
      <x:c r="N183" s="498"/>
    </x:row>
    <x:row r="184" ht="18" customHeight="1">
      <x:c r="A184" s="498"/>
      <x:c r="B184" s="498"/>
      <x:c r="C184" s="498"/>
      <x:c r="D184" s="498"/>
      <x:c r="E184" s="498"/>
      <x:c r="F184" s="498"/>
      <x:c r="G184" s="498"/>
      <x:c r="H184" s="498"/>
      <x:c r="I184" s="508" t="str">
        <x:v>L’ellipse représente environ 65 % de couverture par le couvain.</x:v>
      </x:c>
      <x:c r="J184" s="508" t="str">
        <x:v>L’ellipse représente environ 65 % de couverture par le couvain.</x:v>
      </x:c>
      <x:c r="K184" s="508" t="str">
        <x:v>L’ellipse représente environ 65 % de couverture par le couvain.</x:v>
      </x:c>
      <x:c r="L184" s="508" t="str">
        <x:v>L’ellipse représente environ 65 % de couverture par le couvain.</x:v>
      </x:c>
      <x:c r="M184" s="508" t="str">
        <x:v>L’ellipse représente environ 65 % de couverture par le couvain.</x:v>
      </x:c>
      <x:c r="N184" s="508" t="str">
        <x:v>L’ellipse représente environ 65 % de couverture par le couvain.</x:v>
      </x:c>
    </x:row>
    <x:row r="185" ht="18" customHeight="1">
      <x:c r="A185" s="498"/>
      <x:c r="B185" s="498"/>
      <x:c r="C185" s="498"/>
      <x:c r="D185" s="498"/>
      <x:c r="E185" s="498"/>
      <x:c r="F185" s="498"/>
      <x:c r="G185" s="498"/>
      <x:c r="H185" s="498"/>
      <x:c r="I185" s="508" t="str">
        <x:v>L’ellipse représente environ 65 % de couverture par le couvain.</x:v>
      </x:c>
      <x:c r="J185" s="508" t="str">
        <x:v>L’ellipse représente environ 65 % de couverture par le couvain.</x:v>
      </x:c>
      <x:c r="K185" s="508" t="str">
        <x:v>L’ellipse représente environ 65 % de couverture par le couvain.</x:v>
      </x:c>
      <x:c r="L185" s="508" t="str">
        <x:v>L’ellipse représente environ 65 % de couverture par le couvain.</x:v>
      </x:c>
      <x:c r="M185" s="508" t="str">
        <x:v>L’ellipse représente environ 65 % de couverture par le couvain.</x:v>
      </x:c>
      <x:c r="N185" s="508" t="str">
        <x:v>L’ellipse représente environ 65 % de couverture par le couvain.</x:v>
      </x:c>
    </x:row>
    <x:row r="186" ht="18" customHeight="1">
      <x:c r="A186" s="498"/>
      <x:c r="B186" s="498"/>
      <x:c r="C186" s="498"/>
      <x:c r="D186" s="498"/>
      <x:c r="E186" s="498"/>
      <x:c r="F186" s="498"/>
      <x:c r="G186" s="498"/>
      <x:c r="H186" s="498"/>
      <x:c r="I186" s="508" t="str">
        <x:v>L’ellipse représente environ 65 % de couverture par le couvain.</x:v>
      </x:c>
      <x:c r="J186" s="508" t="str">
        <x:v>L’ellipse représente environ 65 % de couverture par le couvain.</x:v>
      </x:c>
      <x:c r="K186" s="508" t="str">
        <x:v>L’ellipse représente environ 65 % de couverture par le couvain.</x:v>
      </x:c>
      <x:c r="L186" s="508" t="str">
        <x:v>L’ellipse représente environ 65 % de couverture par le couvain.</x:v>
      </x:c>
      <x:c r="M186" s="508" t="str">
        <x:v>L’ellipse représente environ 65 % de couverture par le couvain.</x:v>
      </x:c>
      <x:c r="N186" s="508" t="str">
        <x:v>L’ellipse représente environ 65 % de couverture par le couvain.</x:v>
      </x:c>
    </x:row>
    <x:row r="187" ht="18" customHeight="1">
      <x:c r="A187" s="498"/>
      <x:c r="B187" s="498"/>
      <x:c r="C187" s="498"/>
      <x:c r="D187" s="498"/>
      <x:c r="E187" s="498"/>
      <x:c r="F187" s="498"/>
      <x:c r="G187" s="498"/>
      <x:c r="H187" s="498"/>
      <x:c r="I187" s="498"/>
      <x:c r="J187" s="498"/>
      <x:c r="K187" s="498"/>
      <x:c r="L187" s="498"/>
      <x:c r="M187" s="498"/>
      <x:c r="N187" s="498"/>
    </x:row>
    <x:row r="188" ht="18" customHeight="1">
      <x:c r="A188" s="498"/>
      <x:c r="B188" s="498"/>
      <x:c r="C188" s="498"/>
      <x:c r="D188" s="498"/>
      <x:c r="E188" s="498"/>
      <x:c r="F188" s="498"/>
      <x:c r="G188" s="498"/>
      <x:c r="H188" s="498"/>
      <x:c r="I188" s="508" t="str">
        <x:v>La photographie et le tracé de l’ellipse sont ceux du classeur de Randy Oliver. Le modèle prend comme référence un cadre de corps Langstroth couvert à 65 % de couvain, sur ses deux faces, soit 4 500 cellules.</x:v>
      </x:c>
      <x:c r="J188" s="508" t="str">
        <x:v>La photographie et le tracé de l’ellipse sont ceux du classeur de Randy Oliver. Le modèle prend comme référence un cadre de corps Langstroth couvert à 65 % de couvain, sur ses deux faces, soit 4 500 cellules.</x:v>
      </x:c>
      <x:c r="K188" s="508" t="str">
        <x:v>La photographie et le tracé de l’ellipse sont ceux du classeur de Randy Oliver. Le modèle prend comme référence un cadre de corps Langstroth couvert à 65 % de couvain, sur ses deux faces, soit 4 500 cellules.</x:v>
      </x:c>
      <x:c r="L188" s="508" t="str">
        <x:v>La photographie et le tracé de l’ellipse sont ceux du classeur de Randy Oliver. Le modèle prend comme référence un cadre de corps Langstroth couvert à 65 % de couvain, sur ses deux faces, soit 4 500 cellules.</x:v>
      </x:c>
      <x:c r="M188" s="508" t="str">
        <x:v>La photographie et le tracé de l’ellipse sont ceux du classeur de Randy Oliver. Le modèle prend comme référence un cadre de corps Langstroth couvert à 65 % de couvain, sur ses deux faces, soit 4 500 cellules.</x:v>
      </x:c>
      <x:c r="N188" s="508" t="str">
        <x:v>La photographie et le tracé de l’ellipse sont ceux du classeur de Randy Oliver. Le modèle prend comme référence un cadre de corps Langstroth couvert à 65 % de couvain, sur ses deux faces, soit 4 500 cellules.</x:v>
      </x:c>
    </x:row>
    <x:row r="189" ht="18" customHeight="1">
      <x:c r="A189" s="498"/>
      <x:c r="B189" s="498"/>
      <x:c r="C189" s="498"/>
      <x:c r="D189" s="498"/>
      <x:c r="E189" s="498"/>
      <x:c r="F189" s="498"/>
      <x:c r="G189" s="498"/>
      <x:c r="H189" s="498"/>
      <x:c r="I189" s="508" t="str">
        <x:v>La photographie et le tracé de l’ellipse sont ceux du classeur de Randy Oliver. Le modèle prend comme référence un cadre de corps Langstroth couvert à 65 % de couvain, sur ses deux faces, soit 4 500 cellules.</x:v>
      </x:c>
      <x:c r="J189" s="508" t="str">
        <x:v>La photographie et le tracé de l’ellipse sont ceux du classeur de Randy Oliver. Le modèle prend comme référence un cadre de corps Langstroth couvert à 65 % de couvain, sur ses deux faces, soit 4 500 cellules.</x:v>
      </x:c>
      <x:c r="K189" s="508" t="str">
        <x:v>La photographie et le tracé de l’ellipse sont ceux du classeur de Randy Oliver. Le modèle prend comme référence un cadre de corps Langstroth couvert à 65 % de couvain, sur ses deux faces, soit 4 500 cellules.</x:v>
      </x:c>
      <x:c r="L189" s="508" t="str">
        <x:v>La photographie et le tracé de l’ellipse sont ceux du classeur de Randy Oliver. Le modèle prend comme référence un cadre de corps Langstroth couvert à 65 % de couvain, sur ses deux faces, soit 4 500 cellules.</x:v>
      </x:c>
      <x:c r="M189" s="508" t="str">
        <x:v>La photographie et le tracé de l’ellipse sont ceux du classeur de Randy Oliver. Le modèle prend comme référence un cadre de corps Langstroth couvert à 65 % de couvain, sur ses deux faces, soit 4 500 cellules.</x:v>
      </x:c>
      <x:c r="N189" s="508" t="str">
        <x:v>La photographie et le tracé de l’ellipse sont ceux du classeur de Randy Oliver. Le modèle prend comme référence un cadre de corps Langstroth couvert à 65 % de couvain, sur ses deux faces, soit 4 500 cellules.</x:v>
      </x:c>
    </x:row>
    <x:row r="190" ht="18" customHeight="1">
      <x:c r="A190" s="498"/>
      <x:c r="B190" s="498"/>
      <x:c r="C190" s="498"/>
      <x:c r="D190" s="498"/>
      <x:c r="E190" s="498"/>
      <x:c r="F190" s="498"/>
      <x:c r="G190" s="498"/>
      <x:c r="H190" s="498"/>
      <x:c r="I190" s="508" t="str">
        <x:v>La photographie et le tracé de l’ellipse sont ceux du classeur de Randy Oliver. Le modèle prend comme référence un cadre de corps Langstroth couvert à 65 % de couvain, sur ses deux faces, soit 4 500 cellules.</x:v>
      </x:c>
      <x:c r="J190" s="508" t="str">
        <x:v>La photographie et le tracé de l’ellipse sont ceux du classeur de Randy Oliver. Le modèle prend comme référence un cadre de corps Langstroth couvert à 65 % de couvain, sur ses deux faces, soit 4 500 cellules.</x:v>
      </x:c>
      <x:c r="K190" s="508" t="str">
        <x:v>La photographie et le tracé de l’ellipse sont ceux du classeur de Randy Oliver. Le modèle prend comme référence un cadre de corps Langstroth couvert à 65 % de couvain, sur ses deux faces, soit 4 500 cellules.</x:v>
      </x:c>
      <x:c r="L190" s="508" t="str">
        <x:v>La photographie et le tracé de l’ellipse sont ceux du classeur de Randy Oliver. Le modèle prend comme référence un cadre de corps Langstroth couvert à 65 % de couvain, sur ses deux faces, soit 4 500 cellules.</x:v>
      </x:c>
      <x:c r="M190" s="508" t="str">
        <x:v>La photographie et le tracé de l’ellipse sont ceux du classeur de Randy Oliver. Le modèle prend comme référence un cadre de corps Langstroth couvert à 65 % de couvain, sur ses deux faces, soit 4 500 cellules.</x:v>
      </x:c>
      <x:c r="N190" s="508" t="str">
        <x:v>La photographie et le tracé de l’ellipse sont ceux du classeur de Randy Oliver. Le modèle prend comme référence un cadre de corps Langstroth couvert à 65 % de couvain, sur ses deux faces, soit 4 500 cellules.</x:v>
      </x:c>
    </x:row>
    <x:row r="191" ht="18" customHeight="1">
      <x:c r="A191" s="498"/>
      <x:c r="B191" s="498"/>
      <x:c r="C191" s="498"/>
      <x:c r="D191" s="498"/>
      <x:c r="E191" s="498"/>
      <x:c r="F191" s="498"/>
      <x:c r="G191" s="498"/>
      <x:c r="H191" s="498"/>
      <x:c r="I191" s="508" t="str">
        <x:v>La photographie et le tracé de l’ellipse sont ceux du classeur de Randy Oliver. Le modèle prend comme référence un cadre de corps Langstroth couvert à 65 % de couvain, sur ses deux faces, soit 4 500 cellules.</x:v>
      </x:c>
      <x:c r="J191" s="508" t="str">
        <x:v>La photographie et le tracé de l’ellipse sont ceux du classeur de Randy Oliver. Le modèle prend comme référence un cadre de corps Langstroth couvert à 65 % de couvain, sur ses deux faces, soit 4 500 cellules.</x:v>
      </x:c>
      <x:c r="K191" s="508" t="str">
        <x:v>La photographie et le tracé de l’ellipse sont ceux du classeur de Randy Oliver. Le modèle prend comme référence un cadre de corps Langstroth couvert à 65 % de couvain, sur ses deux faces, soit 4 500 cellules.</x:v>
      </x:c>
      <x:c r="L191" s="508" t="str">
        <x:v>La photographie et le tracé de l’ellipse sont ceux du classeur de Randy Oliver. Le modèle prend comme référence un cadre de corps Langstroth couvert à 65 % de couvain, sur ses deux faces, soit 4 500 cellules.</x:v>
      </x:c>
      <x:c r="M191" s="508" t="str">
        <x:v>La photographie et le tracé de l’ellipse sont ceux du classeur de Randy Oliver. Le modèle prend comme référence un cadre de corps Langstroth couvert à 65 % de couvain, sur ses deux faces, soit 4 500 cellules.</x:v>
      </x:c>
      <x:c r="N191" s="508" t="str">
        <x:v>La photographie et le tracé de l’ellipse sont ceux du classeur de Randy Oliver. Le modèle prend comme référence un cadre de corps Langstroth couvert à 65 % de couvain, sur ses deux faces, soit 4 500 cellules.</x:v>
      </x:c>
    </x:row>
    <x:row r="192" ht="18" customHeight="1">
      <x:c r="A192" s="498"/>
      <x:c r="B192" s="498"/>
      <x:c r="C192" s="498"/>
      <x:c r="D192" s="498"/>
      <x:c r="E192" s="498"/>
      <x:c r="F192" s="498"/>
      <x:c r="G192" s="498"/>
      <x:c r="H192" s="498"/>
      <x:c r="I192" s="498"/>
      <x:c r="J192" s="498"/>
      <x:c r="K192" s="498"/>
      <x:c r="L192" s="498"/>
      <x:c r="M192" s="498"/>
      <x:c r="N192" s="498"/>
    </x:row>
    <x:row r="193" ht="18" customHeight="1">
      <x:c r="A193" s="498"/>
      <x:c r="B193" s="498"/>
      <x:c r="C193" s="498"/>
      <x:c r="D193" s="498"/>
      <x:c r="E193" s="498"/>
      <x:c r="F193" s="498"/>
      <x:c r="G193" s="498"/>
      <x:c r="H193" s="498"/>
      <x:c r="I193" s="498"/>
      <x:c r="J193" s="498"/>
      <x:c r="K193" s="498"/>
      <x:c r="L193" s="498"/>
      <x:c r="M193" s="498"/>
      <x:c r="N193" s="498"/>
    </x:row>
    <x:row r="194" ht="18" customHeight="1">
      <x:c r="A194" s="498"/>
      <x:c r="B194" s="498"/>
      <x:c r="C194" s="498"/>
      <x:c r="D194" s="498"/>
      <x:c r="E194" s="498"/>
      <x:c r="F194" s="498"/>
      <x:c r="G194" s="498"/>
      <x:c r="H194" s="498"/>
      <x:c r="I194" s="498"/>
      <x:c r="J194" s="498"/>
      <x:c r="K194" s="498"/>
      <x:c r="L194" s="498"/>
      <x:c r="M194" s="498"/>
      <x:c r="N194" s="498"/>
    </x:row>
    <x:row r="195" ht="18" customHeight="1">
      <x:c r="A195" s="498"/>
      <x:c r="B195" s="498"/>
      <x:c r="C195" s="498"/>
      <x:c r="D195" s="498"/>
      <x:c r="E195" s="498"/>
      <x:c r="F195" s="498"/>
      <x:c r="G195" s="498"/>
      <x:c r="H195" s="498"/>
      <x:c r="I195" s="498"/>
      <x:c r="J195" s="498"/>
      <x:c r="K195" s="498"/>
      <x:c r="L195" s="498"/>
      <x:c r="M195" s="498"/>
      <x:c r="N195" s="498"/>
    </x:row>
    <x:row r="196" ht="18" customHeight="1">
      <x:c r="A196" s="498"/>
      <x:c r="B196" s="525" t="str">
        <x:v>08 · Comptages selon le mois de prélèvement</x:v>
      </x:c>
      <x:c r="C196" s="525" t="str">
        <x:v>08 · Comptages selon le mois de prélèvement</x:v>
      </x:c>
      <x:c r="D196" s="525" t="str">
        <x:v>08 · Comptages selon le mois de prélèvement</x:v>
      </x:c>
      <x:c r="E196" s="525" t="str">
        <x:v>08 · Comptages selon le mois de prélèvement</x:v>
      </x:c>
      <x:c r="F196" s="525" t="str">
        <x:v>08 · Comptages selon le mois de prélèvement</x:v>
      </x:c>
      <x:c r="G196" s="525" t="str">
        <x:v>08 · Comptages selon le mois de prélèvement</x:v>
      </x:c>
      <x:c r="H196" s="525" t="str">
        <x:v>08 · Comptages selon le mois de prélèvement</x:v>
      </x:c>
      <x:c r="I196" s="525" t="str">
        <x:v>08 · Comptages selon le mois de prélèvement</x:v>
      </x:c>
      <x:c r="J196" s="525" t="str">
        <x:v>08 · Comptages selon le mois de prélèvement</x:v>
      </x:c>
      <x:c r="K196" s="525" t="str">
        <x:v>08 · Comptages selon le mois de prélèvement</x:v>
      </x:c>
      <x:c r="L196" s="525" t="str">
        <x:v>08 · Comptages selon le mois de prélèvement</x:v>
      </x:c>
      <x:c r="M196" s="525" t="str">
        <x:v>08 · Comptages selon le mois de prélèvement</x:v>
      </x:c>
      <x:c r="N196" s="525" t="str">
        <x:v>08 · Comptages selon le mois de prélèvement</x:v>
      </x:c>
    </x:row>
    <x:row r="197" ht="18" customHeight="1">
      <x:c r="A197" s="498"/>
      <x:c r="B197" s="525" t="str">
        <x:v>08 · Comptages selon le mois de prélèvement</x:v>
      </x:c>
      <x:c r="C197" s="525" t="str">
        <x:v>08 · Comptages selon le mois de prélèvement</x:v>
      </x:c>
      <x:c r="D197" s="525" t="str">
        <x:v>08 · Comptages selon le mois de prélèvement</x:v>
      </x:c>
      <x:c r="E197" s="525" t="str">
        <x:v>08 · Comptages selon le mois de prélèvement</x:v>
      </x:c>
      <x:c r="F197" s="525" t="str">
        <x:v>08 · Comptages selon le mois de prélèvement</x:v>
      </x:c>
      <x:c r="G197" s="525" t="str">
        <x:v>08 · Comptages selon le mois de prélèvement</x:v>
      </x:c>
      <x:c r="H197" s="525" t="str">
        <x:v>08 · Comptages selon le mois de prélèvement</x:v>
      </x:c>
      <x:c r="I197" s="525" t="str">
        <x:v>08 · Comptages selon le mois de prélèvement</x:v>
      </x:c>
      <x:c r="J197" s="525" t="str">
        <x:v>08 · Comptages selon le mois de prélèvement</x:v>
      </x:c>
      <x:c r="K197" s="525" t="str">
        <x:v>08 · Comptages selon le mois de prélèvement</x:v>
      </x:c>
      <x:c r="L197" s="525" t="str">
        <x:v>08 · Comptages selon le mois de prélèvement</x:v>
      </x:c>
      <x:c r="M197" s="525" t="str">
        <x:v>08 · Comptages selon le mois de prélèvement</x:v>
      </x:c>
      <x:c r="N197" s="525" t="str">
        <x:v>08 · Comptages selon le mois de prélèvement</x:v>
      </x:c>
    </x:row>
    <x:row r="198" ht="18" customHeight="1">
      <x:c r="A198" s="498"/>
      <x:c r="B198" s="520" t="str">
        <x:v>Réduction annuelle nécessaire — image 10 ; Bee Informed Partnership, 2016</x:v>
      </x:c>
      <x:c r="C198" s="520" t="str">
        <x:v>Réduction annuelle nécessaire — image 10 ; Bee Informed Partnership, 2016</x:v>
      </x:c>
      <x:c r="D198" s="520" t="str">
        <x:v>Réduction annuelle nécessaire — image 10 ; Bee Informed Partnership, 2016</x:v>
      </x:c>
      <x:c r="E198" s="520" t="str">
        <x:v>Réduction annuelle nécessaire — image 10 ; Bee Informed Partnership, 2016</x:v>
      </x:c>
      <x:c r="F198" s="520" t="str">
        <x:v>Réduction annuelle nécessaire — image 10 ; Bee Informed Partnership, 2016</x:v>
      </x:c>
      <x:c r="G198" s="520" t="str">
        <x:v>Réduction annuelle nécessaire — image 10 ; Bee Informed Partnership, 2016</x:v>
      </x:c>
      <x:c r="H198" s="520" t="str">
        <x:v>Réduction annuelle nécessaire — image 10 ; Bee Informed Partnership, 2016</x:v>
      </x:c>
      <x:c r="I198" s="520" t="str">
        <x:v>Réduction annuelle nécessaire — image 10 ; Bee Informed Partnership, 2016</x:v>
      </x:c>
      <x:c r="J198" s="520" t="str">
        <x:v>Réduction annuelle nécessaire — image 10 ; Bee Informed Partnership, 2016</x:v>
      </x:c>
      <x:c r="K198" s="520" t="str">
        <x:v>Réduction annuelle nécessaire — image 10 ; Bee Informed Partnership, 2016</x:v>
      </x:c>
      <x:c r="L198" s="520" t="str">
        <x:v>Réduction annuelle nécessaire — image 10 ; Bee Informed Partnership, 2016</x:v>
      </x:c>
      <x:c r="M198" s="520" t="str">
        <x:v>Réduction annuelle nécessaire — image 10 ; Bee Informed Partnership, 2016</x:v>
      </x:c>
      <x:c r="N198" s="520" t="str">
        <x:v>Réduction annuelle nécessaire — image 10 ; Bee Informed Partnership, 2016</x:v>
      </x:c>
    </x:row>
    <x:row r="199" ht="18" customHeight="1">
      <x:c r="A199" s="498"/>
      <x:c r="B199" s="498"/>
      <x:c r="C199" s="498"/>
      <x:c r="D199" s="498"/>
      <x:c r="E199" s="498"/>
      <x:c r="F199" s="498"/>
      <x:c r="G199" s="498"/>
      <x:c r="H199" s="498"/>
      <x:c r="I199" s="498"/>
      <x:c r="J199" s="498"/>
      <x:c r="K199" s="498"/>
      <x:c r="L199" s="498"/>
      <x:c r="M199" s="498"/>
      <x:c r="N199" s="498"/>
    </x:row>
    <x:row r="200" ht="18" customHeight="1">
      <x:c r="A200" s="498"/>
      <x:c r="B200" s="498"/>
      <x:c r="C200" s="498"/>
      <x:c r="D200" s="498"/>
      <x:c r="E200" s="498"/>
      <x:c r="F200" s="498"/>
      <x:c r="G200" s="498"/>
      <x:c r="H200" s="498"/>
      <x:c r="I200" s="508" t="str">
        <x:v>Titre : varroas selon le mois de prélèvement. Axe vertical : varroas pour 100 abeilles. Axe horizontal : mois.</x:v>
      </x:c>
      <x:c r="J200" s="508" t="str">
        <x:v>Titre : varroas selon le mois de prélèvement. Axe vertical : varroas pour 100 abeilles. Axe horizontal : mois.</x:v>
      </x:c>
      <x:c r="K200" s="508" t="str">
        <x:v>Titre : varroas selon le mois de prélèvement. Axe vertical : varroas pour 100 abeilles. Axe horizontal : mois.</x:v>
      </x:c>
      <x:c r="L200" s="508" t="str">
        <x:v>Titre : varroas selon le mois de prélèvement. Axe vertical : varroas pour 100 abeilles. Axe horizontal : mois.</x:v>
      </x:c>
      <x:c r="M200" s="508" t="str">
        <x:v>Titre : varroas selon le mois de prélèvement. Axe vertical : varroas pour 100 abeilles. Axe horizontal : mois.</x:v>
      </x:c>
      <x:c r="N200" s="508" t="str">
        <x:v>Titre : varroas selon le mois de prélèvement. Axe vertical : varroas pour 100 abeilles. Axe horizontal : mois.</x:v>
      </x:c>
    </x:row>
    <x:row r="201" ht="18" customHeight="1">
      <x:c r="A201" s="498"/>
      <x:c r="B201" s="498"/>
      <x:c r="C201" s="498"/>
      <x:c r="D201" s="498"/>
      <x:c r="E201" s="498"/>
      <x:c r="F201" s="498"/>
      <x:c r="G201" s="498"/>
      <x:c r="H201" s="498"/>
      <x:c r="I201" s="508" t="str">
        <x:v>Titre : varroas selon le mois de prélèvement. Axe vertical : varroas pour 100 abeilles. Axe horizontal : mois.</x:v>
      </x:c>
      <x:c r="J201" s="508" t="str">
        <x:v>Titre : varroas selon le mois de prélèvement. Axe vertical : varroas pour 100 abeilles. Axe horizontal : mois.</x:v>
      </x:c>
      <x:c r="K201" s="508" t="str">
        <x:v>Titre : varroas selon le mois de prélèvement. Axe vertical : varroas pour 100 abeilles. Axe horizontal : mois.</x:v>
      </x:c>
      <x:c r="L201" s="508" t="str">
        <x:v>Titre : varroas selon le mois de prélèvement. Axe vertical : varroas pour 100 abeilles. Axe horizontal : mois.</x:v>
      </x:c>
      <x:c r="M201" s="508" t="str">
        <x:v>Titre : varroas selon le mois de prélèvement. Axe vertical : varroas pour 100 abeilles. Axe horizontal : mois.</x:v>
      </x:c>
      <x:c r="N201" s="508" t="str">
        <x:v>Titre : varroas selon le mois de prélèvement. Axe vertical : varroas pour 100 abeilles. Axe horizontal : mois.</x:v>
      </x:c>
    </x:row>
    <x:row r="202" ht="18" customHeight="1">
      <x:c r="A202" s="498"/>
      <x:c r="B202" s="498"/>
      <x:c r="C202" s="498"/>
      <x:c r="D202" s="498"/>
      <x:c r="E202" s="498"/>
      <x:c r="F202" s="498"/>
      <x:c r="G202" s="498"/>
      <x:c r="H202" s="498"/>
      <x:c r="I202" s="508" t="str">
        <x:v>Titre : varroas selon le mois de prélèvement. Axe vertical : varroas pour 100 abeilles. Axe horizontal : mois.</x:v>
      </x:c>
      <x:c r="J202" s="508" t="str">
        <x:v>Titre : varroas selon le mois de prélèvement. Axe vertical : varroas pour 100 abeilles. Axe horizontal : mois.</x:v>
      </x:c>
      <x:c r="K202" s="508" t="str">
        <x:v>Titre : varroas selon le mois de prélèvement. Axe vertical : varroas pour 100 abeilles. Axe horizontal : mois.</x:v>
      </x:c>
      <x:c r="L202" s="508" t="str">
        <x:v>Titre : varroas selon le mois de prélèvement. Axe vertical : varroas pour 100 abeilles. Axe horizontal : mois.</x:v>
      </x:c>
      <x:c r="M202" s="508" t="str">
        <x:v>Titre : varroas selon le mois de prélèvement. Axe vertical : varroas pour 100 abeilles. Axe horizontal : mois.</x:v>
      </x:c>
      <x:c r="N202" s="508" t="str">
        <x:v>Titre : varroas selon le mois de prélèvement. Axe vertical : varroas pour 100 abeilles. Axe horizontal : mois.</x:v>
      </x:c>
    </x:row>
    <x:row r="203" ht="18" customHeight="1">
      <x:c r="A203" s="498"/>
      <x:c r="B203" s="498"/>
      <x:c r="C203" s="498"/>
      <x:c r="D203" s="498"/>
      <x:c r="E203" s="498"/>
      <x:c r="F203" s="498"/>
      <x:c r="G203" s="498"/>
      <x:c r="H203" s="498"/>
      <x:c r="I203" s="498"/>
      <x:c r="J203" s="498"/>
      <x:c r="K203" s="498"/>
      <x:c r="L203" s="498"/>
      <x:c r="M203" s="498"/>
      <x:c r="N203" s="498"/>
    </x:row>
    <x:row r="204" ht="18" customHeight="1">
      <x:c r="A204" s="498"/>
      <x:c r="B204" s="498"/>
      <x:c r="C204" s="498"/>
      <x:c r="D204" s="498"/>
      <x:c r="E204" s="498"/>
      <x:c r="F204" s="498"/>
      <x:c r="G204" s="498"/>
      <x:c r="H204" s="498"/>
      <x:c r="I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J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K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L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M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N204"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row>
    <x:row r="205" ht="18" customHeight="1">
      <x:c r="A205" s="498"/>
      <x:c r="B205" s="498"/>
      <x:c r="C205" s="498"/>
      <x:c r="D205" s="498"/>
      <x:c r="E205" s="498"/>
      <x:c r="F205" s="498"/>
      <x:c r="G205" s="498"/>
      <x:c r="H205" s="498"/>
      <x:c r="I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J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K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L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M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N205"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row>
    <x:row r="206" ht="18" customHeight="1">
      <x:c r="A206" s="498"/>
      <x:c r="B206" s="498"/>
      <x:c r="C206" s="498"/>
      <x:c r="D206" s="498"/>
      <x:c r="E206" s="498"/>
      <x:c r="F206" s="498"/>
      <x:c r="G206" s="498"/>
      <x:c r="H206" s="498"/>
      <x:c r="I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J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K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L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M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N206"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row>
    <x:row r="207" ht="18" customHeight="1">
      <x:c r="A207" s="498"/>
      <x:c r="B207" s="498"/>
      <x:c r="C207" s="498"/>
      <x:c r="D207" s="498"/>
      <x:c r="E207" s="498"/>
      <x:c r="F207" s="498"/>
      <x:c r="G207" s="498"/>
      <x:c r="H207" s="498"/>
      <x:c r="I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J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K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L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M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N207"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row>
    <x:row r="208" ht="18" customHeight="1">
      <x:c r="A208" s="498"/>
      <x:c r="B208" s="498"/>
      <x:c r="C208" s="498"/>
      <x:c r="D208" s="498"/>
      <x:c r="E208" s="498"/>
      <x:c r="F208" s="498"/>
      <x:c r="G208" s="498"/>
      <x:c r="H208" s="498"/>
      <x:c r="I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J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K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L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M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c r="N208" s="508" t="str">
        <x:v>Les mois 1 à 12 correspondent à janvier, février, mars, avril, mai, juin, juillet, août, septembre, octobre, novembre et décembre. Les lettres EF, C–E, DE, F, CD, C, B, A et C–F sont les groupes statistiques de la figure et restent inchangées. Les barres d’incertitude et la ligne orange sont conservées.</x:v>
      </x:c>
    </x:row>
    <x:row r="209" ht="18" customHeight="1">
      <x:c r="A209" s="498"/>
      <x:c r="B209" s="498"/>
      <x:c r="C209" s="498"/>
      <x:c r="D209" s="498"/>
      <x:c r="E209" s="498"/>
      <x:c r="F209" s="498"/>
      <x:c r="G209" s="498"/>
      <x:c r="H209" s="498"/>
      <x:c r="I209" s="498"/>
      <x:c r="J209" s="498"/>
      <x:c r="K209" s="498"/>
      <x:c r="L209" s="498"/>
      <x:c r="M209" s="498"/>
      <x:c r="N209" s="498"/>
    </x:row>
    <x:row r="210" ht="18" customHeight="1">
      <x:c r="A210" s="498"/>
      <x:c r="B210" s="498"/>
      <x:c r="C210" s="498"/>
      <x:c r="D210" s="498"/>
      <x:c r="E210" s="498"/>
      <x:c r="F210" s="498"/>
      <x:c r="G210" s="498"/>
      <x:c r="H210" s="498"/>
      <x:c r="I210" s="498"/>
      <x:c r="J210" s="498"/>
      <x:c r="K210" s="498"/>
      <x:c r="L210" s="498"/>
      <x:c r="M210" s="498"/>
      <x:c r="N210" s="498"/>
    </x:row>
    <x:row r="211" ht="18" customHeight="1">
      <x:c r="A211" s="498"/>
      <x:c r="B211" s="498"/>
      <x:c r="C211" s="498"/>
      <x:c r="D211" s="498"/>
      <x:c r="E211" s="498"/>
      <x:c r="F211" s="498"/>
      <x:c r="G211" s="498"/>
      <x:c r="H211" s="498"/>
      <x:c r="I211" s="498"/>
      <x:c r="J211" s="498"/>
      <x:c r="K211" s="498"/>
      <x:c r="L211" s="498"/>
      <x:c r="M211" s="498"/>
      <x:c r="N211" s="498"/>
    </x:row>
    <x:row r="212" ht="18" customHeight="1">
      <x:c r="A212" s="498"/>
      <x:c r="B212" s="525" t="str">
        <x:v>09 · Reproduction dans les deux types de couvain</x:v>
      </x:c>
      <x:c r="C212" s="525" t="str">
        <x:v>09 · Reproduction dans les deux types de couvain</x:v>
      </x:c>
      <x:c r="D212" s="525" t="str">
        <x:v>09 · Reproduction dans les deux types de couvain</x:v>
      </x:c>
      <x:c r="E212" s="525" t="str">
        <x:v>09 · Reproduction dans les deux types de couvain</x:v>
      </x:c>
      <x:c r="F212" s="525" t="str">
        <x:v>09 · Reproduction dans les deux types de couvain</x:v>
      </x:c>
      <x:c r="G212" s="525" t="str">
        <x:v>09 · Reproduction dans les deux types de couvain</x:v>
      </x:c>
      <x:c r="H212" s="525" t="str">
        <x:v>09 · Reproduction dans les deux types de couvain</x:v>
      </x:c>
      <x:c r="I212" s="525" t="str">
        <x:v>09 · Reproduction dans les deux types de couvain</x:v>
      </x:c>
      <x:c r="J212" s="525" t="str">
        <x:v>09 · Reproduction dans les deux types de couvain</x:v>
      </x:c>
      <x:c r="K212" s="525" t="str">
        <x:v>09 · Reproduction dans les deux types de couvain</x:v>
      </x:c>
      <x:c r="L212" s="525" t="str">
        <x:v>09 · Reproduction dans les deux types de couvain</x:v>
      </x:c>
      <x:c r="M212" s="525" t="str">
        <x:v>09 · Reproduction dans les deux types de couvain</x:v>
      </x:c>
      <x:c r="N212" s="525" t="str">
        <x:v>09 · Reproduction dans les deux types de couvain</x:v>
      </x:c>
    </x:row>
    <x:row r="213" ht="18" customHeight="1">
      <x:c r="A213" s="498"/>
      <x:c r="B213" s="525" t="str">
        <x:v>09 · Reproduction dans les deux types de couvain</x:v>
      </x:c>
      <x:c r="C213" s="525" t="str">
        <x:v>09 · Reproduction dans les deux types de couvain</x:v>
      </x:c>
      <x:c r="D213" s="525" t="str">
        <x:v>09 · Reproduction dans les deux types de couvain</x:v>
      </x:c>
      <x:c r="E213" s="525" t="str">
        <x:v>09 · Reproduction dans les deux types de couvain</x:v>
      </x:c>
      <x:c r="F213" s="525" t="str">
        <x:v>09 · Reproduction dans les deux types de couvain</x:v>
      </x:c>
      <x:c r="G213" s="525" t="str">
        <x:v>09 · Reproduction dans les deux types de couvain</x:v>
      </x:c>
      <x:c r="H213" s="525" t="str">
        <x:v>09 · Reproduction dans les deux types de couvain</x:v>
      </x:c>
      <x:c r="I213" s="525" t="str">
        <x:v>09 · Reproduction dans les deux types de couvain</x:v>
      </x:c>
      <x:c r="J213" s="525" t="str">
        <x:v>09 · Reproduction dans les deux types de couvain</x:v>
      </x:c>
      <x:c r="K213" s="525" t="str">
        <x:v>09 · Reproduction dans les deux types de couvain</x:v>
      </x:c>
      <x:c r="L213" s="525" t="str">
        <x:v>09 · Reproduction dans les deux types de couvain</x:v>
      </x:c>
      <x:c r="M213" s="525" t="str">
        <x:v>09 · Reproduction dans les deux types de couvain</x:v>
      </x:c>
      <x:c r="N213" s="525" t="str">
        <x:v>09 · Reproduction dans les deux types de couvain</x:v>
      </x:c>
    </x:row>
    <x:row r="214" ht="18" customHeight="1">
      <x:c r="A214" s="498"/>
      <x:c r="B214" s="520" t="str">
        <x:v>Croissance comparée et Taux de croissance r — image 11 ; Stephen J. Martin (1997)</x:v>
      </x:c>
      <x:c r="C214" s="520" t="str">
        <x:v>Croissance comparée et Taux de croissance r — image 11 ; Stephen J. Martin (1997)</x:v>
      </x:c>
      <x:c r="D214" s="520" t="str">
        <x:v>Croissance comparée et Taux de croissance r — image 11 ; Stephen J. Martin (1997)</x:v>
      </x:c>
      <x:c r="E214" s="520" t="str">
        <x:v>Croissance comparée et Taux de croissance r — image 11 ; Stephen J. Martin (1997)</x:v>
      </x:c>
      <x:c r="F214" s="520" t="str">
        <x:v>Croissance comparée et Taux de croissance r — image 11 ; Stephen J. Martin (1997)</x:v>
      </x:c>
      <x:c r="G214" s="520" t="str">
        <x:v>Croissance comparée et Taux de croissance r — image 11 ; Stephen J. Martin (1997)</x:v>
      </x:c>
      <x:c r="H214" s="520" t="str">
        <x:v>Croissance comparée et Taux de croissance r — image 11 ; Stephen J. Martin (1997)</x:v>
      </x:c>
      <x:c r="I214" s="520" t="str">
        <x:v>Croissance comparée et Taux de croissance r — image 11 ; Stephen J. Martin (1997)</x:v>
      </x:c>
      <x:c r="J214" s="520" t="str">
        <x:v>Croissance comparée et Taux de croissance r — image 11 ; Stephen J. Martin (1997)</x:v>
      </x:c>
      <x:c r="K214" s="520" t="str">
        <x:v>Croissance comparée et Taux de croissance r — image 11 ; Stephen J. Martin (1997)</x:v>
      </x:c>
      <x:c r="L214" s="520" t="str">
        <x:v>Croissance comparée et Taux de croissance r — image 11 ; Stephen J. Martin (1997)</x:v>
      </x:c>
      <x:c r="M214" s="520" t="str">
        <x:v>Croissance comparée et Taux de croissance r — image 11 ; Stephen J. Martin (1997)</x:v>
      </x:c>
      <x:c r="N214" s="520" t="str">
        <x:v>Croissance comparée et Taux de croissance r — image 11 ; Stephen J. Martin (1997)</x:v>
      </x:c>
    </x:row>
    <x:row r="215" ht="18" customHeight="1">
      <x:c r="A215" s="498"/>
      <x:c r="B215" s="498"/>
      <x:c r="C215" s="498"/>
      <x:c r="D215" s="498"/>
      <x:c r="E215" s="498"/>
      <x:c r="F215" s="498"/>
      <x:c r="G215" s="498"/>
      <x:c r="H215" s="498"/>
      <x:c r="I215" s="498"/>
      <x:c r="J215" s="498"/>
      <x:c r="K215" s="498"/>
      <x:c r="L215" s="498"/>
      <x:c r="M215" s="498"/>
      <x:c r="N215" s="498"/>
    </x:row>
    <x:row r="216" ht="18" customHeight="1">
      <x:c r="A216" s="498"/>
      <x:c r="B216" s="498"/>
      <x:c r="C216" s="498"/>
      <x:c r="D216" s="498"/>
      <x:c r="E216" s="498"/>
      <x:c r="F216" s="498"/>
      <x:c r="G216" s="498"/>
      <x:c r="H216" s="498"/>
      <x:c r="I216" s="508" t="str">
        <x:v>Colonnes : mâle (à gauche) ; ouvrière (à droite). Les symboles du parasite désignent, de haut en bas dans la légende : femelle adulte ; mâle adulte ; œuf ; protonymphe ; deutonymphe femelle ; deutonymphe mâle.</x:v>
      </x:c>
      <x:c r="J216" s="508" t="str">
        <x:v>Colonnes : mâle (à gauche) ; ouvrière (à droite). Les symboles du parasite désignent, de haut en bas dans la légende : femelle adulte ; mâle adulte ; œuf ; protonymphe ; deutonymphe femelle ; deutonymphe mâle.</x:v>
      </x:c>
      <x:c r="K216" s="508" t="str">
        <x:v>Colonnes : mâle (à gauche) ; ouvrière (à droite). Les symboles du parasite désignent, de haut en bas dans la légende : femelle adulte ; mâle adulte ; œuf ; protonymphe ; deutonymphe femelle ; deutonymphe mâle.</x:v>
      </x:c>
      <x:c r="L216" s="508" t="str">
        <x:v>Colonnes : mâle (à gauche) ; ouvrière (à droite). Les symboles du parasite désignent, de haut en bas dans la légende : femelle adulte ; mâle adulte ; œuf ; protonymphe ; deutonymphe femelle ; deutonymphe mâle.</x:v>
      </x:c>
      <x:c r="M216" s="508" t="str">
        <x:v>Colonnes : mâle (à gauche) ; ouvrière (à droite). Les symboles du parasite désignent, de haut en bas dans la légende : femelle adulte ; mâle adulte ; œuf ; protonymphe ; deutonymphe femelle ; deutonymphe mâle.</x:v>
      </x:c>
      <x:c r="N216" s="508" t="str">
        <x:v>Colonnes : mâle (à gauche) ; ouvrière (à droite). Les symboles du parasite désignent, de haut en bas dans la légende : femelle adulte ; mâle adulte ; œuf ; protonymphe ; deutonymphe femelle ; deutonymphe mâle.</x:v>
      </x:c>
    </x:row>
    <x:row r="217" ht="18" customHeight="1">
      <x:c r="A217" s="498"/>
      <x:c r="B217" s="498"/>
      <x:c r="C217" s="498"/>
      <x:c r="D217" s="498"/>
      <x:c r="E217" s="498"/>
      <x:c r="F217" s="498"/>
      <x:c r="G217" s="498"/>
      <x:c r="H217" s="498"/>
      <x:c r="I217" s="508" t="str">
        <x:v>Colonnes : mâle (à gauche) ; ouvrière (à droite). Les symboles du parasite désignent, de haut en bas dans la légende : femelle adulte ; mâle adulte ; œuf ; protonymphe ; deutonymphe femelle ; deutonymphe mâle.</x:v>
      </x:c>
      <x:c r="J217" s="508" t="str">
        <x:v>Colonnes : mâle (à gauche) ; ouvrière (à droite). Les symboles du parasite désignent, de haut en bas dans la légende : femelle adulte ; mâle adulte ; œuf ; protonymphe ; deutonymphe femelle ; deutonymphe mâle.</x:v>
      </x:c>
      <x:c r="K217" s="508" t="str">
        <x:v>Colonnes : mâle (à gauche) ; ouvrière (à droite). Les symboles du parasite désignent, de haut en bas dans la légende : femelle adulte ; mâle adulte ; œuf ; protonymphe ; deutonymphe femelle ; deutonymphe mâle.</x:v>
      </x:c>
      <x:c r="L217" s="508" t="str">
        <x:v>Colonnes : mâle (à gauche) ; ouvrière (à droite). Les symboles du parasite désignent, de haut en bas dans la légende : femelle adulte ; mâle adulte ; œuf ; protonymphe ; deutonymphe femelle ; deutonymphe mâle.</x:v>
      </x:c>
      <x:c r="M217" s="508" t="str">
        <x:v>Colonnes : mâle (à gauche) ; ouvrière (à droite). Les symboles du parasite désignent, de haut en bas dans la légende : femelle adulte ; mâle adulte ; œuf ; protonymphe ; deutonymphe femelle ; deutonymphe mâle.</x:v>
      </x:c>
      <x:c r="N217" s="508" t="str">
        <x:v>Colonnes : mâle (à gauche) ; ouvrière (à droite). Les symboles du parasite désignent, de haut en bas dans la légende : femelle adulte ; mâle adulte ; œuf ; protonymphe ; deutonymphe femelle ; deutonymphe mâle.</x:v>
      </x:c>
    </x:row>
    <x:row r="218" ht="18" customHeight="1">
      <x:c r="A218" s="498"/>
      <x:c r="B218" s="498"/>
      <x:c r="C218" s="498"/>
      <x:c r="D218" s="498"/>
      <x:c r="E218" s="498"/>
      <x:c r="F218" s="498"/>
      <x:c r="G218" s="498"/>
      <x:c r="H218" s="498"/>
      <x:c r="I218" s="508" t="str">
        <x:v>Colonnes : mâle (à gauche) ; ouvrière (à droite). Les symboles du parasite désignent, de haut en bas dans la légende : femelle adulte ; mâle adulte ; œuf ; protonymphe ; deutonymphe femelle ; deutonymphe mâle.</x:v>
      </x:c>
      <x:c r="J218" s="508" t="str">
        <x:v>Colonnes : mâle (à gauche) ; ouvrière (à droite). Les symboles du parasite désignent, de haut en bas dans la légende : femelle adulte ; mâle adulte ; œuf ; protonymphe ; deutonymphe femelle ; deutonymphe mâle.</x:v>
      </x:c>
      <x:c r="K218" s="508" t="str">
        <x:v>Colonnes : mâle (à gauche) ; ouvrière (à droite). Les symboles du parasite désignent, de haut en bas dans la légende : femelle adulte ; mâle adulte ; œuf ; protonymphe ; deutonymphe femelle ; deutonymphe mâle.</x:v>
      </x:c>
      <x:c r="L218" s="508" t="str">
        <x:v>Colonnes : mâle (à gauche) ; ouvrière (à droite). Les symboles du parasite désignent, de haut en bas dans la légende : femelle adulte ; mâle adulte ; œuf ; protonymphe ; deutonymphe femelle ; deutonymphe mâle.</x:v>
      </x:c>
      <x:c r="M218" s="508" t="str">
        <x:v>Colonnes : mâle (à gauche) ; ouvrière (à droite). Les symboles du parasite désignent, de haut en bas dans la légende : femelle adulte ; mâle adulte ; œuf ; protonymphe ; deutonymphe femelle ; deutonymphe mâle.</x:v>
      </x:c>
      <x:c r="N218" s="508" t="str">
        <x:v>Colonnes : mâle (à gauche) ; ouvrière (à droite). Les symboles du parasite désignent, de haut en bas dans la légende : femelle adulte ; mâle adulte ; œuf ; protonymphe ; deutonymphe femelle ; deutonymphe mâle.</x:v>
      </x:c>
    </x:row>
    <x:row r="219" ht="18" customHeight="1">
      <x:c r="A219" s="498"/>
      <x:c r="B219" s="498"/>
      <x:c r="C219" s="498"/>
      <x:c r="D219" s="498"/>
      <x:c r="E219" s="498"/>
      <x:c r="F219" s="498"/>
      <x:c r="G219" s="498"/>
      <x:c r="H219" s="498"/>
      <x:c r="I219" s="508" t="str">
        <x:v>Colonnes : mâle (à gauche) ; ouvrière (à droite). Les symboles du parasite désignent, de haut en bas dans la légende : femelle adulte ; mâle adulte ; œuf ; protonymphe ; deutonymphe femelle ; deutonymphe mâle.</x:v>
      </x:c>
      <x:c r="J219" s="508" t="str">
        <x:v>Colonnes : mâle (à gauche) ; ouvrière (à droite). Les symboles du parasite désignent, de haut en bas dans la légende : femelle adulte ; mâle adulte ; œuf ; protonymphe ; deutonymphe femelle ; deutonymphe mâle.</x:v>
      </x:c>
      <x:c r="K219" s="508" t="str">
        <x:v>Colonnes : mâle (à gauche) ; ouvrière (à droite). Les symboles du parasite désignent, de haut en bas dans la légende : femelle adulte ; mâle adulte ; œuf ; protonymphe ; deutonymphe femelle ; deutonymphe mâle.</x:v>
      </x:c>
      <x:c r="L219" s="508" t="str">
        <x:v>Colonnes : mâle (à gauche) ; ouvrière (à droite). Les symboles du parasite désignent, de haut en bas dans la légende : femelle adulte ; mâle adulte ; œuf ; protonymphe ; deutonymphe femelle ; deutonymphe mâle.</x:v>
      </x:c>
      <x:c r="M219" s="508" t="str">
        <x:v>Colonnes : mâle (à gauche) ; ouvrière (à droite). Les symboles du parasite désignent, de haut en bas dans la légende : femelle adulte ; mâle adulte ; œuf ; protonymphe ; deutonymphe femelle ; deutonymphe mâle.</x:v>
      </x:c>
      <x:c r="N219" s="508" t="str">
        <x:v>Colonnes : mâle (à gauche) ; ouvrière (à droite). Les symboles du parasite désignent, de haut en bas dans la légende : femelle adulte ; mâle adulte ; œuf ; protonymphe ; deutonymphe femelle ; deutonymphe mâle.</x:v>
      </x:c>
    </x:row>
    <x:row r="220" ht="18" customHeight="1">
      <x:c r="A220" s="498"/>
      <x:c r="B220" s="498"/>
      <x:c r="C220" s="498"/>
      <x:c r="D220" s="498"/>
      <x:c r="E220" s="498"/>
      <x:c r="F220" s="498"/>
      <x:c r="G220" s="498"/>
      <x:c r="H220" s="498"/>
      <x:c r="I220" s="498"/>
      <x:c r="J220" s="498"/>
      <x:c r="K220" s="498"/>
      <x:c r="L220" s="498"/>
      <x:c r="M220" s="498"/>
      <x:c r="N220" s="498"/>
    </x:row>
    <x:row r="221" ht="18" customHeight="1">
      <x:c r="A221" s="498"/>
      <x:c r="B221" s="498"/>
      <x:c r="C221" s="498"/>
      <x:c r="D221" s="498"/>
      <x:c r="E221" s="498"/>
      <x:c r="F221" s="498"/>
      <x:c r="G221" s="498"/>
      <x:c r="H221" s="498"/>
      <x:c r="I221" s="508" t="str">
        <x:v>Les dessins suivent le développement de l’abeille et des descendants de varroas dans chaque type de cellule. Les pourcentages et symboles biologiques de l’original sont conservés sans modification.</x:v>
      </x:c>
      <x:c r="J221" s="508" t="str">
        <x:v>Les dessins suivent le développement de l’abeille et des descendants de varroas dans chaque type de cellule. Les pourcentages et symboles biologiques de l’original sont conservés sans modification.</x:v>
      </x:c>
      <x:c r="K221" s="508" t="str">
        <x:v>Les dessins suivent le développement de l’abeille et des descendants de varroas dans chaque type de cellule. Les pourcentages et symboles biologiques de l’original sont conservés sans modification.</x:v>
      </x:c>
      <x:c r="L221" s="508" t="str">
        <x:v>Les dessins suivent le développement de l’abeille et des descendants de varroas dans chaque type de cellule. Les pourcentages et symboles biologiques de l’original sont conservés sans modification.</x:v>
      </x:c>
      <x:c r="M221" s="508" t="str">
        <x:v>Les dessins suivent le développement de l’abeille et des descendants de varroas dans chaque type de cellule. Les pourcentages et symboles biologiques de l’original sont conservés sans modification.</x:v>
      </x:c>
      <x:c r="N221" s="508" t="str">
        <x:v>Les dessins suivent le développement de l’abeille et des descendants de varroas dans chaque type de cellule. Les pourcentages et symboles biologiques de l’original sont conservés sans modification.</x:v>
      </x:c>
    </x:row>
    <x:row r="222" ht="18" customHeight="1">
      <x:c r="A222" s="498"/>
      <x:c r="B222" s="498"/>
      <x:c r="C222" s="498"/>
      <x:c r="D222" s="498"/>
      <x:c r="E222" s="498"/>
      <x:c r="F222" s="498"/>
      <x:c r="G222" s="498"/>
      <x:c r="H222" s="498"/>
      <x:c r="I222" s="508" t="str">
        <x:v>Les dessins suivent le développement de l’abeille et des descendants de varroas dans chaque type de cellule. Les pourcentages et symboles biologiques de l’original sont conservés sans modification.</x:v>
      </x:c>
      <x:c r="J222" s="508" t="str">
        <x:v>Les dessins suivent le développement de l’abeille et des descendants de varroas dans chaque type de cellule. Les pourcentages et symboles biologiques de l’original sont conservés sans modification.</x:v>
      </x:c>
      <x:c r="K222" s="508" t="str">
        <x:v>Les dessins suivent le développement de l’abeille et des descendants de varroas dans chaque type de cellule. Les pourcentages et symboles biologiques de l’original sont conservés sans modification.</x:v>
      </x:c>
      <x:c r="L222" s="508" t="str">
        <x:v>Les dessins suivent le développement de l’abeille et des descendants de varroas dans chaque type de cellule. Les pourcentages et symboles biologiques de l’original sont conservés sans modification.</x:v>
      </x:c>
      <x:c r="M222" s="508" t="str">
        <x:v>Les dessins suivent le développement de l’abeille et des descendants de varroas dans chaque type de cellule. Les pourcentages et symboles biologiques de l’original sont conservés sans modification.</x:v>
      </x:c>
      <x:c r="N222" s="508" t="str">
        <x:v>Les dessins suivent le développement de l’abeille et des descendants de varroas dans chaque type de cellule. Les pourcentages et symboles biologiques de l’original sont conservés sans modification.</x:v>
      </x:c>
    </x:row>
    <x:row r="223" ht="18" customHeight="1">
      <x:c r="A223" s="498"/>
      <x:c r="B223" s="498"/>
      <x:c r="C223" s="498"/>
      <x:c r="D223" s="498"/>
      <x:c r="E223" s="498"/>
      <x:c r="F223" s="498"/>
      <x:c r="G223" s="498"/>
      <x:c r="H223" s="498"/>
      <x:c r="I223" s="508" t="str">
        <x:v>Les dessins suivent le développement de l’abeille et des descendants de varroas dans chaque type de cellule. Les pourcentages et symboles biologiques de l’original sont conservés sans modification.</x:v>
      </x:c>
      <x:c r="J223" s="508" t="str">
        <x:v>Les dessins suivent le développement de l’abeille et des descendants de varroas dans chaque type de cellule. Les pourcentages et symboles biologiques de l’original sont conservés sans modification.</x:v>
      </x:c>
      <x:c r="K223" s="508" t="str">
        <x:v>Les dessins suivent le développement de l’abeille et des descendants de varroas dans chaque type de cellule. Les pourcentages et symboles biologiques de l’original sont conservés sans modification.</x:v>
      </x:c>
      <x:c r="L223" s="508" t="str">
        <x:v>Les dessins suivent le développement de l’abeille et des descendants de varroas dans chaque type de cellule. Les pourcentages et symboles biologiques de l’original sont conservés sans modification.</x:v>
      </x:c>
      <x:c r="M223" s="508" t="str">
        <x:v>Les dessins suivent le développement de l’abeille et des descendants de varroas dans chaque type de cellule. Les pourcentages et symboles biologiques de l’original sont conservés sans modification.</x:v>
      </x:c>
      <x:c r="N223" s="508" t="str">
        <x:v>Les dessins suivent le développement de l’abeille et des descendants de varroas dans chaque type de cellule. Les pourcentages et symboles biologiques de l’original sont conservés sans modification.</x:v>
      </x:c>
    </x:row>
    <x:row r="224" ht="18" customHeight="1">
      <x:c r="A224" s="498"/>
      <x:c r="B224" s="498"/>
      <x:c r="C224" s="498"/>
      <x:c r="D224" s="498"/>
      <x:c r="E224" s="498"/>
      <x:c r="F224" s="498"/>
      <x:c r="G224" s="498"/>
      <x:c r="H224" s="498"/>
      <x:c r="I224" s="508" t="str">
        <x:v>Les dessins suivent le développement de l’abeille et des descendants de varroas dans chaque type de cellule. Les pourcentages et symboles biologiques de l’original sont conservés sans modification.</x:v>
      </x:c>
      <x:c r="J224" s="508" t="str">
        <x:v>Les dessins suivent le développement de l’abeille et des descendants de varroas dans chaque type de cellule. Les pourcentages et symboles biologiques de l’original sont conservés sans modification.</x:v>
      </x:c>
      <x:c r="K224" s="508" t="str">
        <x:v>Les dessins suivent le développement de l’abeille et des descendants de varroas dans chaque type de cellule. Les pourcentages et symboles biologiques de l’original sont conservés sans modification.</x:v>
      </x:c>
      <x:c r="L224" s="508" t="str">
        <x:v>Les dessins suivent le développement de l’abeille et des descendants de varroas dans chaque type de cellule. Les pourcentages et symboles biologiques de l’original sont conservés sans modification.</x:v>
      </x:c>
      <x:c r="M224" s="508" t="str">
        <x:v>Les dessins suivent le développement de l’abeille et des descendants de varroas dans chaque type de cellule. Les pourcentages et symboles biologiques de l’original sont conservés sans modification.</x:v>
      </x:c>
      <x:c r="N224" s="508" t="str">
        <x:v>Les dessins suivent le développement de l’abeille et des descendants de varroas dans chaque type de cellule. Les pourcentages et symboles biologiques de l’original sont conservés sans modification.</x:v>
      </x:c>
    </x:row>
    <x:row r="225" ht="18" customHeight="1">
      <x:c r="A225" s="498"/>
      <x:c r="B225" s="498"/>
      <x:c r="C225" s="498"/>
      <x:c r="D225" s="498"/>
      <x:c r="E225" s="498"/>
      <x:c r="F225" s="498"/>
      <x:c r="G225" s="498"/>
      <x:c r="H225" s="498"/>
      <x:c r="I225" s="498"/>
      <x:c r="J225" s="498"/>
      <x:c r="K225" s="498"/>
      <x:c r="L225" s="498"/>
      <x:c r="M225" s="498"/>
      <x:c r="N225" s="498"/>
    </x:row>
    <x:row r="226" ht="18" customHeight="1">
      <x:c r="A226" s="498"/>
      <x:c r="B226" s="498"/>
      <x:c r="C226" s="498"/>
      <x:c r="D226" s="498"/>
      <x:c r="E226" s="498"/>
      <x:c r="F226" s="498"/>
      <x:c r="G226" s="498"/>
      <x:c r="H226" s="498"/>
      <x:c r="I226" s="498"/>
      <x:c r="J226" s="498"/>
      <x:c r="K226" s="498"/>
      <x:c r="L226" s="498"/>
      <x:c r="M226" s="498"/>
      <x:c r="N226" s="498"/>
    </x:row>
    <x:row r="227" ht="18" customHeight="1">
      <x:c r="A227" s="498"/>
      <x:c r="B227" s="498"/>
      <x:c r="C227" s="498"/>
      <x:c r="D227" s="498"/>
      <x:c r="E227" s="498"/>
      <x:c r="F227" s="498"/>
      <x:c r="G227" s="498"/>
      <x:c r="H227" s="498"/>
      <x:c r="I227" s="498"/>
      <x:c r="J227" s="498"/>
      <x:c r="K227" s="498"/>
      <x:c r="L227" s="498"/>
      <x:c r="M227" s="498"/>
      <x:c r="N227" s="498"/>
    </x:row>
    <x:row r="228" ht="18" customHeight="1">
      <x:c r="A228" s="498"/>
      <x:c r="B228" s="498"/>
      <x:c r="C228" s="498"/>
      <x:c r="D228" s="498"/>
      <x:c r="E228" s="498"/>
      <x:c r="F228" s="498"/>
      <x:c r="G228" s="498"/>
      <x:c r="H228" s="498"/>
      <x:c r="I228" s="498"/>
      <x:c r="J228" s="498"/>
      <x:c r="K228" s="498"/>
      <x:c r="L228" s="498"/>
      <x:c r="M228" s="498"/>
      <x:c r="N228" s="498"/>
    </x:row>
    <x:row r="229" ht="18" customHeight="1">
      <x:c r="A229" s="498"/>
      <x:c r="B229" s="498"/>
      <x:c r="C229" s="498"/>
      <x:c r="D229" s="498"/>
      <x:c r="E229" s="498"/>
      <x:c r="F229" s="498"/>
      <x:c r="G229" s="498"/>
      <x:c r="H229" s="498"/>
      <x:c r="I229" s="498"/>
      <x:c r="J229" s="498"/>
      <x:c r="K229" s="498"/>
      <x:c r="L229" s="498"/>
      <x:c r="M229" s="498"/>
      <x:c r="N229" s="498"/>
    </x:row>
    <x:row r="230" ht="18" customHeight="1">
      <x:c r="A230" s="498"/>
      <x:c r="B230" s="498"/>
      <x:c r="C230" s="498"/>
      <x:c r="D230" s="498"/>
      <x:c r="E230" s="498"/>
      <x:c r="F230" s="498"/>
      <x:c r="G230" s="498"/>
      <x:c r="H230" s="498"/>
      <x:c r="I230" s="498"/>
      <x:c r="J230" s="498"/>
      <x:c r="K230" s="498"/>
      <x:c r="L230" s="498"/>
      <x:c r="M230" s="498"/>
      <x:c r="N230" s="498"/>
    </x:row>
    <x:row r="231" ht="18" customHeight="1">
      <x:c r="A231" s="498"/>
      <x:c r="B231" s="498"/>
      <x:c r="C231" s="498"/>
      <x:c r="D231" s="498"/>
      <x:c r="E231" s="498"/>
      <x:c r="F231" s="498"/>
      <x:c r="G231" s="498"/>
      <x:c r="H231" s="498"/>
      <x:c r="I231" s="498"/>
      <x:c r="J231" s="498"/>
      <x:c r="K231" s="498"/>
      <x:c r="L231" s="498"/>
      <x:c r="M231" s="498"/>
      <x:c r="N231" s="498"/>
    </x:row>
    <x:row r="232" ht="18" customHeight="1">
      <x:c r="A232" s="498"/>
      <x:c r="B232" s="498"/>
      <x:c r="C232" s="498"/>
      <x:c r="D232" s="498"/>
      <x:c r="E232" s="498"/>
      <x:c r="F232" s="498"/>
      <x:c r="G232" s="498"/>
      <x:c r="H232" s="498"/>
      <x:c r="I232" s="498"/>
      <x:c r="J232" s="498"/>
      <x:c r="K232" s="498"/>
      <x:c r="L232" s="498"/>
      <x:c r="M232" s="498"/>
      <x:c r="N232" s="498"/>
    </x:row>
    <x:row r="233" ht="18" customHeight="1">
      <x:c r="A233" s="498"/>
      <x:c r="B233" s="498"/>
      <x:c r="C233" s="498"/>
      <x:c r="D233" s="498"/>
      <x:c r="E233" s="498"/>
      <x:c r="F233" s="498"/>
      <x:c r="G233" s="498"/>
      <x:c r="H233" s="498"/>
      <x:c r="I233" s="498"/>
      <x:c r="J233" s="498"/>
      <x:c r="K233" s="498"/>
      <x:c r="L233" s="498"/>
      <x:c r="M233" s="498"/>
      <x:c r="N233" s="498"/>
    </x:row>
    <x:row r="234" ht="18" customHeight="1">
      <x:c r="A234" s="498"/>
      <x:c r="B234" s="498"/>
      <x:c r="C234" s="498"/>
      <x:c r="D234" s="498"/>
      <x:c r="E234" s="498"/>
      <x:c r="F234" s="498"/>
      <x:c r="G234" s="498"/>
      <x:c r="H234" s="498"/>
      <x:c r="I234" s="498"/>
      <x:c r="J234" s="498"/>
      <x:c r="K234" s="498"/>
      <x:c r="L234" s="498"/>
      <x:c r="M234" s="498"/>
      <x:c r="N234" s="498"/>
    </x:row>
    <x:row r="235" ht="18" customHeight="1">
      <x:c r="A235" s="498"/>
      <x:c r="B235" s="498"/>
      <x:c r="C235" s="498"/>
      <x:c r="D235" s="498"/>
      <x:c r="E235" s="498"/>
      <x:c r="F235" s="498"/>
      <x:c r="G235" s="498"/>
      <x:c r="H235" s="498"/>
      <x:c r="I235" s="498"/>
      <x:c r="J235" s="498"/>
      <x:c r="K235" s="498"/>
      <x:c r="L235" s="498"/>
      <x:c r="M235" s="498"/>
      <x:c r="N235" s="498"/>
    </x:row>
    <x:row r="236" ht="18" customHeight="1">
      <x:c r="A236" s="498"/>
      <x:c r="B236" s="498"/>
      <x:c r="C236" s="498"/>
      <x:c r="D236" s="498"/>
      <x:c r="E236" s="498"/>
      <x:c r="F236" s="498"/>
      <x:c r="G236" s="498"/>
      <x:c r="H236" s="498"/>
      <x:c r="I236" s="498"/>
      <x:c r="J236" s="498"/>
      <x:c r="K236" s="498"/>
      <x:c r="L236" s="498"/>
      <x:c r="M236" s="498"/>
      <x:c r="N236" s="498"/>
    </x:row>
    <x:row r="237" ht="18" customHeight="1">
      <x:c r="A237" s="498"/>
      <x:c r="B237" s="525" t="str">
        <x:v>10 · Évolution saisonnière du couvain</x:v>
      </x:c>
      <x:c r="C237" s="525" t="str">
        <x:v>10 · Évolution saisonnière du couvain</x:v>
      </x:c>
      <x:c r="D237" s="525" t="str">
        <x:v>10 · Évolution saisonnière du couvain</x:v>
      </x:c>
      <x:c r="E237" s="525" t="str">
        <x:v>10 · Évolution saisonnière du couvain</x:v>
      </x:c>
      <x:c r="F237" s="525" t="str">
        <x:v>10 · Évolution saisonnière du couvain</x:v>
      </x:c>
      <x:c r="G237" s="525" t="str">
        <x:v>10 · Évolution saisonnière du couvain</x:v>
      </x:c>
      <x:c r="H237" s="525" t="str">
        <x:v>10 · Évolution saisonnière du couvain</x:v>
      </x:c>
      <x:c r="I237" s="525" t="str">
        <x:v>10 · Évolution saisonnière du couvain</x:v>
      </x:c>
      <x:c r="J237" s="525" t="str">
        <x:v>10 · Évolution saisonnière du couvain</x:v>
      </x:c>
      <x:c r="K237" s="525" t="str">
        <x:v>10 · Évolution saisonnière du couvain</x:v>
      </x:c>
      <x:c r="L237" s="525" t="str">
        <x:v>10 · Évolution saisonnière du couvain</x:v>
      </x:c>
      <x:c r="M237" s="525" t="str">
        <x:v>10 · Évolution saisonnière du couvain</x:v>
      </x:c>
      <x:c r="N237" s="525" t="str">
        <x:v>10 · Évolution saisonnière du couvain</x:v>
      </x:c>
    </x:row>
    <x:row r="238" ht="18" customHeight="1">
      <x:c r="A238" s="498"/>
      <x:c r="B238" s="525" t="str">
        <x:v>10 · Évolution saisonnière du couvain</x:v>
      </x:c>
      <x:c r="C238" s="525" t="str">
        <x:v>10 · Évolution saisonnière du couvain</x:v>
      </x:c>
      <x:c r="D238" s="525" t="str">
        <x:v>10 · Évolution saisonnière du couvain</x:v>
      </x:c>
      <x:c r="E238" s="525" t="str">
        <x:v>10 · Évolution saisonnière du couvain</x:v>
      </x:c>
      <x:c r="F238" s="525" t="str">
        <x:v>10 · Évolution saisonnière du couvain</x:v>
      </x:c>
      <x:c r="G238" s="525" t="str">
        <x:v>10 · Évolution saisonnière du couvain</x:v>
      </x:c>
      <x:c r="H238" s="525" t="str">
        <x:v>10 · Évolution saisonnière du couvain</x:v>
      </x:c>
      <x:c r="I238" s="525" t="str">
        <x:v>10 · Évolution saisonnière du couvain</x:v>
      </x:c>
      <x:c r="J238" s="525" t="str">
        <x:v>10 · Évolution saisonnière du couvain</x:v>
      </x:c>
      <x:c r="K238" s="525" t="str">
        <x:v>10 · Évolution saisonnière du couvain</x:v>
      </x:c>
      <x:c r="L238" s="525" t="str">
        <x:v>10 · Évolution saisonnière du couvain</x:v>
      </x:c>
      <x:c r="M238" s="525" t="str">
        <x:v>10 · Évolution saisonnière du couvain</x:v>
      </x:c>
      <x:c r="N238" s="525" t="str">
        <x:v>10 · Évolution saisonnière du couvain</x:v>
      </x:c>
    </x:row>
    <x:row r="239" ht="18" customHeight="1">
      <x:c r="A239" s="498"/>
      <x:c r="B239" s="520" t="str">
        <x:v>Données à étudier — image 12 ; Kunert et Crailsheim (1988)</x:v>
      </x:c>
      <x:c r="C239" s="520" t="str">
        <x:v>Données à étudier — image 12 ; Kunert et Crailsheim (1988)</x:v>
      </x:c>
      <x:c r="D239" s="520" t="str">
        <x:v>Données à étudier — image 12 ; Kunert et Crailsheim (1988)</x:v>
      </x:c>
      <x:c r="E239" s="520" t="str">
        <x:v>Données à étudier — image 12 ; Kunert et Crailsheim (1988)</x:v>
      </x:c>
      <x:c r="F239" s="520" t="str">
        <x:v>Données à étudier — image 12 ; Kunert et Crailsheim (1988)</x:v>
      </x:c>
      <x:c r="G239" s="520" t="str">
        <x:v>Données à étudier — image 12 ; Kunert et Crailsheim (1988)</x:v>
      </x:c>
      <x:c r="H239" s="520" t="str">
        <x:v>Données à étudier — image 12 ; Kunert et Crailsheim (1988)</x:v>
      </x:c>
      <x:c r="I239" s="520" t="str">
        <x:v>Données à étudier — image 12 ; Kunert et Crailsheim (1988)</x:v>
      </x:c>
      <x:c r="J239" s="520" t="str">
        <x:v>Données à étudier — image 12 ; Kunert et Crailsheim (1988)</x:v>
      </x:c>
      <x:c r="K239" s="520" t="str">
        <x:v>Données à étudier — image 12 ; Kunert et Crailsheim (1988)</x:v>
      </x:c>
      <x:c r="L239" s="520" t="str">
        <x:v>Données à étudier — image 12 ; Kunert et Crailsheim (1988)</x:v>
      </x:c>
      <x:c r="M239" s="520" t="str">
        <x:v>Données à étudier — image 12 ; Kunert et Crailsheim (1988)</x:v>
      </x:c>
      <x:c r="N239" s="520" t="str">
        <x:v>Données à étudier — image 12 ; Kunert et Crailsheim (1988)</x:v>
      </x:c>
    </x:row>
    <x:row r="240" ht="18" customHeight="1">
      <x:c r="A240" s="498"/>
      <x:c r="B240" s="498"/>
      <x:c r="C240" s="498"/>
      <x:c r="D240" s="498"/>
      <x:c r="E240" s="498"/>
      <x:c r="F240" s="498"/>
      <x:c r="G240" s="498"/>
      <x:c r="H240" s="498"/>
      <x:c r="I240" s="498"/>
      <x:c r="J240" s="498"/>
      <x:c r="K240" s="498"/>
      <x:c r="L240" s="498"/>
      <x:c r="M240" s="498"/>
      <x:c r="N240" s="498"/>
    </x:row>
    <x:row r="241" ht="18" customHeight="1">
      <x:c r="A241" s="498"/>
      <x:c r="B241" s="498"/>
      <x:c r="C241" s="498"/>
      <x:c r="D241" s="498"/>
      <x:c r="E241" s="498"/>
      <x:c r="F241" s="498"/>
      <x:c r="G241" s="498"/>
      <x:c r="H241" s="498"/>
      <x:c r="I241" s="508" t="str">
        <x:v>Axe vertical : nombre de cellules de couvain. Légende : ruche I (triangles) ; ruche II (ronds). Année indiquée : 1984.</x:v>
      </x:c>
      <x:c r="J241" s="508" t="str">
        <x:v>Axe vertical : nombre de cellules de couvain. Légende : ruche I (triangles) ; ruche II (ronds). Année indiquée : 1984.</x:v>
      </x:c>
      <x:c r="K241" s="508" t="str">
        <x:v>Axe vertical : nombre de cellules de couvain. Légende : ruche I (triangles) ; ruche II (ronds). Année indiquée : 1984.</x:v>
      </x:c>
      <x:c r="L241" s="508" t="str">
        <x:v>Axe vertical : nombre de cellules de couvain. Légende : ruche I (triangles) ; ruche II (ronds). Année indiquée : 1984.</x:v>
      </x:c>
      <x:c r="M241" s="508" t="str">
        <x:v>Axe vertical : nombre de cellules de couvain. Légende : ruche I (triangles) ; ruche II (ronds). Année indiquée : 1984.</x:v>
      </x:c>
      <x:c r="N241" s="508" t="str">
        <x:v>Axe vertical : nombre de cellules de couvain. Légende : ruche I (triangles) ; ruche II (ronds). Année indiquée : 1984.</x:v>
      </x:c>
    </x:row>
    <x:row r="242" ht="18" customHeight="1">
      <x:c r="A242" s="498"/>
      <x:c r="B242" s="498"/>
      <x:c r="C242" s="498"/>
      <x:c r="D242" s="498"/>
      <x:c r="E242" s="498"/>
      <x:c r="F242" s="498"/>
      <x:c r="G242" s="498"/>
      <x:c r="H242" s="498"/>
      <x:c r="I242" s="508" t="str">
        <x:v>Axe vertical : nombre de cellules de couvain. Légende : ruche I (triangles) ; ruche II (ronds). Année indiquée : 1984.</x:v>
      </x:c>
      <x:c r="J242" s="508" t="str">
        <x:v>Axe vertical : nombre de cellules de couvain. Légende : ruche I (triangles) ; ruche II (ronds). Année indiquée : 1984.</x:v>
      </x:c>
      <x:c r="K242" s="508" t="str">
        <x:v>Axe vertical : nombre de cellules de couvain. Légende : ruche I (triangles) ; ruche II (ronds). Année indiquée : 1984.</x:v>
      </x:c>
      <x:c r="L242" s="508" t="str">
        <x:v>Axe vertical : nombre de cellules de couvain. Légende : ruche I (triangles) ; ruche II (ronds). Année indiquée : 1984.</x:v>
      </x:c>
      <x:c r="M242" s="508" t="str">
        <x:v>Axe vertical : nombre de cellules de couvain. Légende : ruche I (triangles) ; ruche II (ronds). Année indiquée : 1984.</x:v>
      </x:c>
      <x:c r="N242" s="508" t="str">
        <x:v>Axe vertical : nombre de cellules de couvain. Légende : ruche I (triangles) ; ruche II (ronds). Année indiquée : 1984.</x:v>
      </x:c>
    </x:row>
    <x:row r="243" ht="18" customHeight="1">
      <x:c r="A243" s="498"/>
      <x:c r="B243" s="498"/>
      <x:c r="C243" s="498"/>
      <x:c r="D243" s="498"/>
      <x:c r="E243" s="498"/>
      <x:c r="F243" s="498"/>
      <x:c r="G243" s="498"/>
      <x:c r="H243" s="498"/>
      <x:c r="I243" s="508" t="str">
        <x:v>Axe vertical : nombre de cellules de couvain. Légende : ruche I (triangles) ; ruche II (ronds). Année indiquée : 1984.</x:v>
      </x:c>
      <x:c r="J243" s="508" t="str">
        <x:v>Axe vertical : nombre de cellules de couvain. Légende : ruche I (triangles) ; ruche II (ronds). Année indiquée : 1984.</x:v>
      </x:c>
      <x:c r="K243" s="508" t="str">
        <x:v>Axe vertical : nombre de cellules de couvain. Légende : ruche I (triangles) ; ruche II (ronds). Année indiquée : 1984.</x:v>
      </x:c>
      <x:c r="L243" s="508" t="str">
        <x:v>Axe vertical : nombre de cellules de couvain. Légende : ruche I (triangles) ; ruche II (ronds). Année indiquée : 1984.</x:v>
      </x:c>
      <x:c r="M243" s="508" t="str">
        <x:v>Axe vertical : nombre de cellules de couvain. Légende : ruche I (triangles) ; ruche II (ronds). Année indiquée : 1984.</x:v>
      </x:c>
      <x:c r="N243" s="508" t="str">
        <x:v>Axe vertical : nombre de cellules de couvain. Légende : ruche I (triangles) ; ruche II (ronds). Année indiquée : 1984.</x:v>
      </x:c>
    </x:row>
    <x:row r="244" ht="18" customHeight="1">
      <x:c r="A244" s="498"/>
      <x:c r="B244" s="498"/>
      <x:c r="C244" s="498"/>
      <x:c r="D244" s="498"/>
      <x:c r="E244" s="498"/>
      <x:c r="F244" s="498"/>
      <x:c r="G244" s="498"/>
      <x:c r="H244" s="498"/>
      <x:c r="I244" s="498"/>
      <x:c r="J244" s="498"/>
      <x:c r="K244" s="498"/>
      <x:c r="L244" s="498"/>
      <x:c r="M244" s="498"/>
      <x:c r="N244" s="498"/>
    </x:row>
    <x:row r="245" ht="18" customHeight="1">
      <x:c r="A245" s="498"/>
      <x:c r="B245" s="498"/>
      <x:c r="C245" s="498"/>
      <x:c r="D245" s="498"/>
      <x:c r="E245" s="498"/>
      <x:c r="F245" s="498"/>
      <x:c r="G245" s="498"/>
      <x:c r="H245" s="498"/>
      <x:c r="I245" s="508" t="str">
        <x:v>Axe horizontal : mars, avril, mai, juin, juillet, août, septembre. Les valeurs, points et courbes de la publication sont conservés.</x:v>
      </x:c>
      <x:c r="J245" s="508" t="str">
        <x:v>Axe horizontal : mars, avril, mai, juin, juillet, août, septembre. Les valeurs, points et courbes de la publication sont conservés.</x:v>
      </x:c>
      <x:c r="K245" s="508" t="str">
        <x:v>Axe horizontal : mars, avril, mai, juin, juillet, août, septembre. Les valeurs, points et courbes de la publication sont conservés.</x:v>
      </x:c>
      <x:c r="L245" s="508" t="str">
        <x:v>Axe horizontal : mars, avril, mai, juin, juillet, août, septembre. Les valeurs, points et courbes de la publication sont conservés.</x:v>
      </x:c>
      <x:c r="M245" s="508" t="str">
        <x:v>Axe horizontal : mars, avril, mai, juin, juillet, août, septembre. Les valeurs, points et courbes de la publication sont conservés.</x:v>
      </x:c>
      <x:c r="N245" s="508" t="str">
        <x:v>Axe horizontal : mars, avril, mai, juin, juillet, août, septembre. Les valeurs, points et courbes de la publication sont conservés.</x:v>
      </x:c>
    </x:row>
    <x:row r="246" ht="18" customHeight="1">
      <x:c r="A246" s="498"/>
      <x:c r="B246" s="498"/>
      <x:c r="C246" s="498"/>
      <x:c r="D246" s="498"/>
      <x:c r="E246" s="498"/>
      <x:c r="F246" s="498"/>
      <x:c r="G246" s="498"/>
      <x:c r="H246" s="498"/>
      <x:c r="I246" s="508" t="str">
        <x:v>Axe horizontal : mars, avril, mai, juin, juillet, août, septembre. Les valeurs, points et courbes de la publication sont conservés.</x:v>
      </x:c>
      <x:c r="J246" s="508" t="str">
        <x:v>Axe horizontal : mars, avril, mai, juin, juillet, août, septembre. Les valeurs, points et courbes de la publication sont conservés.</x:v>
      </x:c>
      <x:c r="K246" s="508" t="str">
        <x:v>Axe horizontal : mars, avril, mai, juin, juillet, août, septembre. Les valeurs, points et courbes de la publication sont conservés.</x:v>
      </x:c>
      <x:c r="L246" s="508" t="str">
        <x:v>Axe horizontal : mars, avril, mai, juin, juillet, août, septembre. Les valeurs, points et courbes de la publication sont conservés.</x:v>
      </x:c>
      <x:c r="M246" s="508" t="str">
        <x:v>Axe horizontal : mars, avril, mai, juin, juillet, août, septembre. Les valeurs, points et courbes de la publication sont conservés.</x:v>
      </x:c>
      <x:c r="N246" s="508" t="str">
        <x:v>Axe horizontal : mars, avril, mai, juin, juillet, août, septembre. Les valeurs, points et courbes de la publication sont conservés.</x:v>
      </x:c>
    </x:row>
    <x:row r="247" ht="18" customHeight="1">
      <x:c r="A247" s="498"/>
      <x:c r="B247" s="498"/>
      <x:c r="C247" s="498"/>
      <x:c r="D247" s="498"/>
      <x:c r="E247" s="498"/>
      <x:c r="F247" s="498"/>
      <x:c r="G247" s="498"/>
      <x:c r="H247" s="498"/>
      <x:c r="I247" s="508" t="str">
        <x:v>Axe horizontal : mars, avril, mai, juin, juillet, août, septembre. Les valeurs, points et courbes de la publication sont conservés.</x:v>
      </x:c>
      <x:c r="J247" s="508" t="str">
        <x:v>Axe horizontal : mars, avril, mai, juin, juillet, août, septembre. Les valeurs, points et courbes de la publication sont conservés.</x:v>
      </x:c>
      <x:c r="K247" s="508" t="str">
        <x:v>Axe horizontal : mars, avril, mai, juin, juillet, août, septembre. Les valeurs, points et courbes de la publication sont conservés.</x:v>
      </x:c>
      <x:c r="L247" s="508" t="str">
        <x:v>Axe horizontal : mars, avril, mai, juin, juillet, août, septembre. Les valeurs, points et courbes de la publication sont conservés.</x:v>
      </x:c>
      <x:c r="M247" s="508" t="str">
        <x:v>Axe horizontal : mars, avril, mai, juin, juillet, août, septembre. Les valeurs, points et courbes de la publication sont conservés.</x:v>
      </x:c>
      <x:c r="N247" s="508" t="str">
        <x:v>Axe horizontal : mars, avril, mai, juin, juillet, août, septembre. Les valeurs, points et courbes de la publication sont conservés.</x:v>
      </x:c>
    </x:row>
    <x:row r="248" ht="18" customHeight="1">
      <x:c r="A248" s="498"/>
      <x:c r="B248" s="498"/>
      <x:c r="C248" s="498"/>
      <x:c r="D248" s="498"/>
      <x:c r="E248" s="498"/>
      <x:c r="F248" s="498"/>
      <x:c r="G248" s="498"/>
      <x:c r="H248" s="498"/>
      <x:c r="I248" s="508" t="str">
        <x:v>Axe horizontal : mars, avril, mai, juin, juillet, août, septembre. Les valeurs, points et courbes de la publication sont conservés.</x:v>
      </x:c>
      <x:c r="J248" s="508" t="str">
        <x:v>Axe horizontal : mars, avril, mai, juin, juillet, août, septembre. Les valeurs, points et courbes de la publication sont conservés.</x:v>
      </x:c>
      <x:c r="K248" s="508" t="str">
        <x:v>Axe horizontal : mars, avril, mai, juin, juillet, août, septembre. Les valeurs, points et courbes de la publication sont conservés.</x:v>
      </x:c>
      <x:c r="L248" s="508" t="str">
        <x:v>Axe horizontal : mars, avril, mai, juin, juillet, août, septembre. Les valeurs, points et courbes de la publication sont conservés.</x:v>
      </x:c>
      <x:c r="M248" s="508" t="str">
        <x:v>Axe horizontal : mars, avril, mai, juin, juillet, août, septembre. Les valeurs, points et courbes de la publication sont conservés.</x:v>
      </x:c>
      <x:c r="N248" s="508" t="str">
        <x:v>Axe horizontal : mars, avril, mai, juin, juillet, août, septembre. Les valeurs, points et courbes de la publication sont conservés.</x:v>
      </x:c>
    </x:row>
    <x:row r="249" ht="18" customHeight="1">
      <x:c r="A249" s="498"/>
      <x:c r="B249" s="498"/>
      <x:c r="C249" s="498"/>
      <x:c r="D249" s="498"/>
      <x:c r="E249" s="498"/>
      <x:c r="F249" s="498"/>
      <x:c r="G249" s="498"/>
      <x:c r="H249" s="498"/>
      <x:c r="I249" s="498"/>
      <x:c r="J249" s="498"/>
      <x:c r="K249" s="498"/>
      <x:c r="L249" s="498"/>
      <x:c r="M249" s="498"/>
      <x:c r="N249" s="498"/>
    </x:row>
    <x:row r="250" ht="18" customHeight="1">
      <x:c r="A250" s="498"/>
      <x:c r="B250" s="498"/>
      <x:c r="C250" s="498"/>
      <x:c r="D250" s="498"/>
      <x:c r="E250" s="498"/>
      <x:c r="F250" s="498"/>
      <x:c r="G250" s="498"/>
      <x:c r="H250" s="498"/>
      <x:c r="I250" s="498"/>
      <x:c r="J250" s="498"/>
      <x:c r="K250" s="498"/>
      <x:c r="L250" s="498"/>
      <x:c r="M250" s="498"/>
      <x:c r="N250" s="498"/>
    </x:row>
    <x:row r="251" ht="18" customHeight="1">
      <x:c r="A251" s="498"/>
      <x:c r="B251" s="498"/>
      <x:c r="C251" s="498"/>
      <x:c r="D251" s="498"/>
      <x:c r="E251" s="498"/>
      <x:c r="F251" s="498"/>
      <x:c r="G251" s="498"/>
      <x:c r="H251" s="498"/>
      <x:c r="I251" s="498"/>
      <x:c r="J251" s="498"/>
      <x:c r="K251" s="498"/>
      <x:c r="L251" s="498"/>
      <x:c r="M251" s="498"/>
      <x:c r="N251" s="498"/>
    </x:row>
    <x:row r="252" ht="18" customHeight="1">
      <x:c r="A252" s="498"/>
      <x:c r="B252" s="498"/>
      <x:c r="C252" s="498"/>
      <x:c r="D252" s="498"/>
      <x:c r="E252" s="498"/>
      <x:c r="F252" s="498"/>
      <x:c r="G252" s="498"/>
      <x:c r="H252" s="498"/>
      <x:c r="I252" s="498"/>
      <x:c r="J252" s="498"/>
      <x:c r="K252" s="498"/>
      <x:c r="L252" s="498"/>
      <x:c r="M252" s="498"/>
      <x:c r="N252" s="498"/>
    </x:row>
    <x:row r="253" ht="18" customHeight="1">
      <x:c r="A253" s="498"/>
      <x:c r="B253" s="498"/>
      <x:c r="C253" s="498"/>
      <x:c r="D253" s="498"/>
      <x:c r="E253" s="498"/>
      <x:c r="F253" s="498"/>
      <x:c r="G253" s="498"/>
      <x:c r="H253" s="498"/>
      <x:c r="I253" s="498"/>
      <x:c r="J253" s="498"/>
      <x:c r="K253" s="498"/>
      <x:c r="L253" s="498"/>
      <x:c r="M253" s="498"/>
      <x:c r="N253" s="498"/>
    </x:row>
    <x:row r="254" ht="18" customHeight="1">
      <x:c r="A254" s="498"/>
      <x:c r="B254" s="525" t="str">
        <x:v>11 · Surfaces de couvain d’ouvrières et de mâles</x:v>
      </x:c>
      <x:c r="C254" s="525" t="str">
        <x:v>11 · Surfaces de couvain d’ouvrières et de mâles</x:v>
      </x:c>
      <x:c r="D254" s="525" t="str">
        <x:v>11 · Surfaces de couvain d’ouvrières et de mâles</x:v>
      </x:c>
      <x:c r="E254" s="525" t="str">
        <x:v>11 · Surfaces de couvain d’ouvrières et de mâles</x:v>
      </x:c>
      <x:c r="F254" s="525" t="str">
        <x:v>11 · Surfaces de couvain d’ouvrières et de mâles</x:v>
      </x:c>
      <x:c r="G254" s="525" t="str">
        <x:v>11 · Surfaces de couvain d’ouvrières et de mâles</x:v>
      </x:c>
      <x:c r="H254" s="525" t="str">
        <x:v>11 · Surfaces de couvain d’ouvrières et de mâles</x:v>
      </x:c>
      <x:c r="I254" s="525" t="str">
        <x:v>11 · Surfaces de couvain d’ouvrières et de mâles</x:v>
      </x:c>
      <x:c r="J254" s="525" t="str">
        <x:v>11 · Surfaces de couvain d’ouvrières et de mâles</x:v>
      </x:c>
      <x:c r="K254" s="525" t="str">
        <x:v>11 · Surfaces de couvain d’ouvrières et de mâles</x:v>
      </x:c>
      <x:c r="L254" s="525" t="str">
        <x:v>11 · Surfaces de couvain d’ouvrières et de mâles</x:v>
      </x:c>
      <x:c r="M254" s="525" t="str">
        <x:v>11 · Surfaces de couvain d’ouvrières et de mâles</x:v>
      </x:c>
      <x:c r="N254" s="525" t="str">
        <x:v>11 · Surfaces de couvain d’ouvrières et de mâles</x:v>
      </x:c>
    </x:row>
    <x:row r="255" ht="18" customHeight="1">
      <x:c r="A255" s="498"/>
      <x:c r="B255" s="525" t="str">
        <x:v>11 · Surfaces de couvain d’ouvrières et de mâles</x:v>
      </x:c>
      <x:c r="C255" s="525" t="str">
        <x:v>11 · Surfaces de couvain d’ouvrières et de mâles</x:v>
      </x:c>
      <x:c r="D255" s="525" t="str">
        <x:v>11 · Surfaces de couvain d’ouvrières et de mâles</x:v>
      </x:c>
      <x:c r="E255" s="525" t="str">
        <x:v>11 · Surfaces de couvain d’ouvrières et de mâles</x:v>
      </x:c>
      <x:c r="F255" s="525" t="str">
        <x:v>11 · Surfaces de couvain d’ouvrières et de mâles</x:v>
      </x:c>
      <x:c r="G255" s="525" t="str">
        <x:v>11 · Surfaces de couvain d’ouvrières et de mâles</x:v>
      </x:c>
      <x:c r="H255" s="525" t="str">
        <x:v>11 · Surfaces de couvain d’ouvrières et de mâles</x:v>
      </x:c>
      <x:c r="I255" s="525" t="str">
        <x:v>11 · Surfaces de couvain d’ouvrières et de mâles</x:v>
      </x:c>
      <x:c r="J255" s="525" t="str">
        <x:v>11 · Surfaces de couvain d’ouvrières et de mâles</x:v>
      </x:c>
      <x:c r="K255" s="525" t="str">
        <x:v>11 · Surfaces de couvain d’ouvrières et de mâles</x:v>
      </x:c>
      <x:c r="L255" s="525" t="str">
        <x:v>11 · Surfaces de couvain d’ouvrières et de mâles</x:v>
      </x:c>
      <x:c r="M255" s="525" t="str">
        <x:v>11 · Surfaces de couvain d’ouvrières et de mâles</x:v>
      </x:c>
      <x:c r="N255" s="525" t="str">
        <x:v>11 · Surfaces de couvain d’ouvrières et de mâles</x:v>
      </x:c>
    </x:row>
    <x:row r="256" ht="18" customHeight="1">
      <x:c r="A256" s="498"/>
      <x:c r="B256" s="520" t="str">
        <x:v>Données à étudier — image 13 ; Requier et collaborateurs (2017)</x:v>
      </x:c>
      <x:c r="C256" s="520" t="str">
        <x:v>Données à étudier — image 13 ; Requier et collaborateurs (2017)</x:v>
      </x:c>
      <x:c r="D256" s="520" t="str">
        <x:v>Données à étudier — image 13 ; Requier et collaborateurs (2017)</x:v>
      </x:c>
      <x:c r="E256" s="520" t="str">
        <x:v>Données à étudier — image 13 ; Requier et collaborateurs (2017)</x:v>
      </x:c>
      <x:c r="F256" s="520" t="str">
        <x:v>Données à étudier — image 13 ; Requier et collaborateurs (2017)</x:v>
      </x:c>
      <x:c r="G256" s="520" t="str">
        <x:v>Données à étudier — image 13 ; Requier et collaborateurs (2017)</x:v>
      </x:c>
      <x:c r="H256" s="520" t="str">
        <x:v>Données à étudier — image 13 ; Requier et collaborateurs (2017)</x:v>
      </x:c>
      <x:c r="I256" s="520" t="str">
        <x:v>Données à étudier — image 13 ; Requier et collaborateurs (2017)</x:v>
      </x:c>
      <x:c r="J256" s="520" t="str">
        <x:v>Données à étudier — image 13 ; Requier et collaborateurs (2017)</x:v>
      </x:c>
      <x:c r="K256" s="520" t="str">
        <x:v>Données à étudier — image 13 ; Requier et collaborateurs (2017)</x:v>
      </x:c>
      <x:c r="L256" s="520" t="str">
        <x:v>Données à étudier — image 13 ; Requier et collaborateurs (2017)</x:v>
      </x:c>
      <x:c r="M256" s="520" t="str">
        <x:v>Données à étudier — image 13 ; Requier et collaborateurs (2017)</x:v>
      </x:c>
      <x:c r="N256" s="520" t="str">
        <x:v>Données à étudier — image 13 ; Requier et collaborateurs (2017)</x:v>
      </x:c>
    </x:row>
    <x:row r="257" ht="18" customHeight="1">
      <x:c r="A257" s="498"/>
      <x:c r="B257" s="498"/>
      <x:c r="C257" s="498"/>
      <x:c r="D257" s="498"/>
      <x:c r="E257" s="498"/>
      <x:c r="F257" s="498"/>
      <x:c r="G257" s="498"/>
      <x:c r="H257" s="498"/>
      <x:c r="I257" s="498"/>
      <x:c r="J257" s="498"/>
      <x:c r="K257" s="498"/>
      <x:c r="L257" s="498"/>
      <x:c r="M257" s="498"/>
      <x:c r="N257" s="498"/>
    </x:row>
    <x:row r="258" ht="18" customHeight="1">
      <x:c r="A258" s="498"/>
      <x:c r="B258" s="498"/>
      <x:c r="C258" s="498"/>
      <x:c r="D258" s="498"/>
      <x:c r="E258" s="498"/>
      <x:c r="F258" s="498"/>
      <x:c r="G258" s="498"/>
      <x:c r="H258" s="498"/>
      <x:c r="I258" s="508" t="str">
        <x:v>Axe vertical : surface de couvain d’ouvrières (cm²). Axe horizontal : surface de couvain de mâles (cm²).</x:v>
      </x:c>
      <x:c r="J258" s="508" t="str">
        <x:v>Axe vertical : surface de couvain d’ouvrières (cm²). Axe horizontal : surface de couvain de mâles (cm²).</x:v>
      </x:c>
      <x:c r="K258" s="508" t="str">
        <x:v>Axe vertical : surface de couvain d’ouvrières (cm²). Axe horizontal : surface de couvain de mâles (cm²).</x:v>
      </x:c>
      <x:c r="L258" s="508" t="str">
        <x:v>Axe vertical : surface de couvain d’ouvrières (cm²). Axe horizontal : surface de couvain de mâles (cm²).</x:v>
      </x:c>
      <x:c r="M258" s="508" t="str">
        <x:v>Axe vertical : surface de couvain d’ouvrières (cm²). Axe horizontal : surface de couvain de mâles (cm²).</x:v>
      </x:c>
      <x:c r="N258" s="508" t="str">
        <x:v>Axe vertical : surface de couvain d’ouvrières (cm²). Axe horizontal : surface de couvain de mâles (cm²).</x:v>
      </x:c>
    </x:row>
    <x:row r="259" ht="18" customHeight="1">
      <x:c r="A259" s="498"/>
      <x:c r="B259" s="498"/>
      <x:c r="C259" s="498"/>
      <x:c r="D259" s="498"/>
      <x:c r="E259" s="498"/>
      <x:c r="F259" s="498"/>
      <x:c r="G259" s="498"/>
      <x:c r="H259" s="498"/>
      <x:c r="I259" s="508" t="str">
        <x:v>Axe vertical : surface de couvain d’ouvrières (cm²). Axe horizontal : surface de couvain de mâles (cm²).</x:v>
      </x:c>
      <x:c r="J259" s="508" t="str">
        <x:v>Axe vertical : surface de couvain d’ouvrières (cm²). Axe horizontal : surface de couvain de mâles (cm²).</x:v>
      </x:c>
      <x:c r="K259" s="508" t="str">
        <x:v>Axe vertical : surface de couvain d’ouvrières (cm²). Axe horizontal : surface de couvain de mâles (cm²).</x:v>
      </x:c>
      <x:c r="L259" s="508" t="str">
        <x:v>Axe vertical : surface de couvain d’ouvrières (cm²). Axe horizontal : surface de couvain de mâles (cm²).</x:v>
      </x:c>
      <x:c r="M259" s="508" t="str">
        <x:v>Axe vertical : surface de couvain d’ouvrières (cm²). Axe horizontal : surface de couvain de mâles (cm²).</x:v>
      </x:c>
      <x:c r="N259" s="508" t="str">
        <x:v>Axe vertical : surface de couvain d’ouvrières (cm²). Axe horizontal : surface de couvain de mâles (cm²).</x:v>
      </x:c>
    </x:row>
    <x:row r="260" ht="18" customHeight="1">
      <x:c r="A260" s="498"/>
      <x:c r="B260" s="498"/>
      <x:c r="C260" s="498"/>
      <x:c r="D260" s="498"/>
      <x:c r="E260" s="498"/>
      <x:c r="F260" s="498"/>
      <x:c r="G260" s="498"/>
      <x:c r="H260" s="498"/>
      <x:c r="I260" s="508" t="str">
        <x:v>Axe vertical : surface de couvain d’ouvrières (cm²). Axe horizontal : surface de couvain de mâles (cm²).</x:v>
      </x:c>
      <x:c r="J260" s="508" t="str">
        <x:v>Axe vertical : surface de couvain d’ouvrières (cm²). Axe horizontal : surface de couvain de mâles (cm²).</x:v>
      </x:c>
      <x:c r="K260" s="508" t="str">
        <x:v>Axe vertical : surface de couvain d’ouvrières (cm²). Axe horizontal : surface de couvain de mâles (cm²).</x:v>
      </x:c>
      <x:c r="L260" s="508" t="str">
        <x:v>Axe vertical : surface de couvain d’ouvrières (cm²). Axe horizontal : surface de couvain de mâles (cm²).</x:v>
      </x:c>
      <x:c r="M260" s="508" t="str">
        <x:v>Axe vertical : surface de couvain d’ouvrières (cm²). Axe horizontal : surface de couvain de mâles (cm²).</x:v>
      </x:c>
      <x:c r="N260" s="508" t="str">
        <x:v>Axe vertical : surface de couvain d’ouvrières (cm²). Axe horizontal : surface de couvain de mâles (cm²).</x:v>
      </x:c>
    </x:row>
    <x:row r="261" ht="18" customHeight="1">
      <x:c r="A261" s="498"/>
      <x:c r="B261" s="498"/>
      <x:c r="C261" s="498"/>
      <x:c r="D261" s="498"/>
      <x:c r="E261" s="498"/>
      <x:c r="F261" s="498"/>
      <x:c r="G261" s="498"/>
      <x:c r="H261" s="498"/>
      <x:c r="I261" s="498"/>
      <x:c r="J261" s="498"/>
      <x:c r="K261" s="498"/>
      <x:c r="L261" s="498"/>
      <x:c r="M261" s="498"/>
      <x:c r="N261" s="498"/>
    </x:row>
    <x:row r="262" ht="18" customHeight="1">
      <x:c r="A262" s="498"/>
      <x:c r="B262" s="498"/>
      <x:c r="C262" s="498"/>
      <x:c r="D262" s="498"/>
      <x:c r="E262" s="498"/>
      <x:c r="F262" s="498"/>
      <x:c r="G262" s="498"/>
      <x:c r="H262" s="498"/>
      <x:c r="I262" s="508" t="str">
        <x:v>Les surfaces sont déjà exprimées dans le système métrique. Les graduations, points, courbes et barres d’incertitude sont conservés.</x:v>
      </x:c>
      <x:c r="J262" s="508" t="str">
        <x:v>Les surfaces sont déjà exprimées dans le système métrique. Les graduations, points, courbes et barres d’incertitude sont conservés.</x:v>
      </x:c>
      <x:c r="K262" s="508" t="str">
        <x:v>Les surfaces sont déjà exprimées dans le système métrique. Les graduations, points, courbes et barres d’incertitude sont conservés.</x:v>
      </x:c>
      <x:c r="L262" s="508" t="str">
        <x:v>Les surfaces sont déjà exprimées dans le système métrique. Les graduations, points, courbes et barres d’incertitude sont conservés.</x:v>
      </x:c>
      <x:c r="M262" s="508" t="str">
        <x:v>Les surfaces sont déjà exprimées dans le système métrique. Les graduations, points, courbes et barres d’incertitude sont conservés.</x:v>
      </x:c>
      <x:c r="N262" s="508" t="str">
        <x:v>Les surfaces sont déjà exprimées dans le système métrique. Les graduations, points, courbes et barres d’incertitude sont conservés.</x:v>
      </x:c>
    </x:row>
    <x:row r="263" ht="18" customHeight="1">
      <x:c r="A263" s="498"/>
      <x:c r="B263" s="498"/>
      <x:c r="C263" s="498"/>
      <x:c r="D263" s="498"/>
      <x:c r="E263" s="498"/>
      <x:c r="F263" s="498"/>
      <x:c r="G263" s="498"/>
      <x:c r="H263" s="498"/>
      <x:c r="I263" s="508" t="str">
        <x:v>Les surfaces sont déjà exprimées dans le système métrique. Les graduations, points, courbes et barres d’incertitude sont conservés.</x:v>
      </x:c>
      <x:c r="J263" s="508" t="str">
        <x:v>Les surfaces sont déjà exprimées dans le système métrique. Les graduations, points, courbes et barres d’incertitude sont conservés.</x:v>
      </x:c>
      <x:c r="K263" s="508" t="str">
        <x:v>Les surfaces sont déjà exprimées dans le système métrique. Les graduations, points, courbes et barres d’incertitude sont conservés.</x:v>
      </x:c>
      <x:c r="L263" s="508" t="str">
        <x:v>Les surfaces sont déjà exprimées dans le système métrique. Les graduations, points, courbes et barres d’incertitude sont conservés.</x:v>
      </x:c>
      <x:c r="M263" s="508" t="str">
        <x:v>Les surfaces sont déjà exprimées dans le système métrique. Les graduations, points, courbes et barres d’incertitude sont conservés.</x:v>
      </x:c>
      <x:c r="N263" s="508" t="str">
        <x:v>Les surfaces sont déjà exprimées dans le système métrique. Les graduations, points, courbes et barres d’incertitude sont conservés.</x:v>
      </x:c>
    </x:row>
    <x:row r="264" ht="18" customHeight="1">
      <x:c r="A264" s="498"/>
      <x:c r="B264" s="498"/>
      <x:c r="C264" s="498"/>
      <x:c r="D264" s="498"/>
      <x:c r="E264" s="498"/>
      <x:c r="F264" s="498"/>
      <x:c r="G264" s="498"/>
      <x:c r="H264" s="498"/>
      <x:c r="I264" s="508" t="str">
        <x:v>Les surfaces sont déjà exprimées dans le système métrique. Les graduations, points, courbes et barres d’incertitude sont conservés.</x:v>
      </x:c>
      <x:c r="J264" s="508" t="str">
        <x:v>Les surfaces sont déjà exprimées dans le système métrique. Les graduations, points, courbes et barres d’incertitude sont conservés.</x:v>
      </x:c>
      <x:c r="K264" s="508" t="str">
        <x:v>Les surfaces sont déjà exprimées dans le système métrique. Les graduations, points, courbes et barres d’incertitude sont conservés.</x:v>
      </x:c>
      <x:c r="L264" s="508" t="str">
        <x:v>Les surfaces sont déjà exprimées dans le système métrique. Les graduations, points, courbes et barres d’incertitude sont conservés.</x:v>
      </x:c>
      <x:c r="M264" s="508" t="str">
        <x:v>Les surfaces sont déjà exprimées dans le système métrique. Les graduations, points, courbes et barres d’incertitude sont conservés.</x:v>
      </x:c>
      <x:c r="N264" s="508" t="str">
        <x:v>Les surfaces sont déjà exprimées dans le système métrique. Les graduations, points, courbes et barres d’incertitude sont conservés.</x:v>
      </x:c>
    </x:row>
    <x:row r="265" ht="18" customHeight="1">
      <x:c r="A265" s="498"/>
      <x:c r="B265" s="498"/>
      <x:c r="C265" s="498"/>
      <x:c r="D265" s="498"/>
      <x:c r="E265" s="498"/>
      <x:c r="F265" s="498"/>
      <x:c r="G265" s="498"/>
      <x:c r="H265" s="498"/>
      <x:c r="I265" s="508" t="str">
        <x:v>Les surfaces sont déjà exprimées dans le système métrique. Les graduations, points, courbes et barres d’incertitude sont conservés.</x:v>
      </x:c>
      <x:c r="J265" s="508" t="str">
        <x:v>Les surfaces sont déjà exprimées dans le système métrique. Les graduations, points, courbes et barres d’incertitude sont conservés.</x:v>
      </x:c>
      <x:c r="K265" s="508" t="str">
        <x:v>Les surfaces sont déjà exprimées dans le système métrique. Les graduations, points, courbes et barres d’incertitude sont conservés.</x:v>
      </x:c>
      <x:c r="L265" s="508" t="str">
        <x:v>Les surfaces sont déjà exprimées dans le système métrique. Les graduations, points, courbes et barres d’incertitude sont conservés.</x:v>
      </x:c>
      <x:c r="M265" s="508" t="str">
        <x:v>Les surfaces sont déjà exprimées dans le système métrique. Les graduations, points, courbes et barres d’incertitude sont conservés.</x:v>
      </x:c>
      <x:c r="N265" s="508" t="str">
        <x:v>Les surfaces sont déjà exprimées dans le système métrique. Les graduations, points, courbes et barres d’incertitude sont conservés.</x:v>
      </x:c>
    </x:row>
    <x:row r="266" ht="18" customHeight="1">
      <x:c r="A266" s="498"/>
      <x:c r="B266" s="498"/>
      <x:c r="C266" s="498"/>
      <x:c r="D266" s="498"/>
      <x:c r="E266" s="498"/>
      <x:c r="F266" s="498"/>
      <x:c r="G266" s="498"/>
      <x:c r="H266" s="498"/>
      <x:c r="I266" s="498"/>
      <x:c r="J266" s="498"/>
      <x:c r="K266" s="498"/>
      <x:c r="L266" s="498"/>
      <x:c r="M266" s="498"/>
      <x:c r="N266" s="498"/>
    </x:row>
    <x:row r="267" ht="18" customHeight="1">
      <x:c r="A267" s="498"/>
      <x:c r="B267" s="498"/>
      <x:c r="C267" s="498"/>
      <x:c r="D267" s="498"/>
      <x:c r="E267" s="498"/>
      <x:c r="F267" s="498"/>
      <x:c r="G267" s="498"/>
      <x:c r="H267" s="498"/>
      <x:c r="I267" s="498"/>
      <x:c r="J267" s="498"/>
      <x:c r="K267" s="498"/>
      <x:c r="L267" s="498"/>
      <x:c r="M267" s="498"/>
      <x:c r="N267" s="498"/>
    </x:row>
    <x:row r="268" ht="18" customHeight="1">
      <x:c r="A268" s="498"/>
      <x:c r="B268" s="498"/>
      <x:c r="C268" s="498"/>
      <x:c r="D268" s="498"/>
      <x:c r="E268" s="498"/>
      <x:c r="F268" s="498"/>
      <x:c r="G268" s="498"/>
      <x:c r="H268" s="498"/>
      <x:c r="I268" s="498"/>
      <x:c r="J268" s="498"/>
      <x:c r="K268" s="498"/>
      <x:c r="L268" s="498"/>
      <x:c r="M268" s="498"/>
      <x:c r="N268" s="498"/>
    </x:row>
    <x:row r="269" ht="18" customHeight="1">
      <x:c r="A269" s="498"/>
      <x:c r="B269" s="498"/>
      <x:c r="C269" s="498"/>
      <x:c r="D269" s="498"/>
      <x:c r="E269" s="498"/>
      <x:c r="F269" s="498"/>
      <x:c r="G269" s="498"/>
      <x:c r="H269" s="498"/>
      <x:c r="I269" s="498"/>
      <x:c r="J269" s="498"/>
      <x:c r="K269" s="498"/>
      <x:c r="L269" s="498"/>
      <x:c r="M269" s="498"/>
      <x:c r="N269" s="498"/>
    </x:row>
    <x:row r="270" ht="18" customHeight="1">
      <x:c r="A270" s="498"/>
      <x:c r="B270" s="498"/>
      <x:c r="C270" s="498"/>
      <x:c r="D270" s="498"/>
      <x:c r="E270" s="498"/>
      <x:c r="F270" s="498"/>
      <x:c r="G270" s="498"/>
      <x:c r="H270" s="498"/>
      <x:c r="I270" s="498"/>
      <x:c r="J270" s="498"/>
      <x:c r="K270" s="498"/>
      <x:c r="L270" s="498"/>
      <x:c r="M270" s="498"/>
      <x:c r="N270" s="498"/>
    </x:row>
    <x:row r="271" ht="18" customHeight="1">
      <x:c r="A271" s="498"/>
      <x:c r="B271" s="498"/>
      <x:c r="C271" s="498"/>
      <x:c r="D271" s="498"/>
      <x:c r="E271" s="498"/>
      <x:c r="F271" s="498"/>
      <x:c r="G271" s="498"/>
      <x:c r="H271" s="498"/>
      <x:c r="I271" s="498"/>
      <x:c r="J271" s="498"/>
      <x:c r="K271" s="498"/>
      <x:c r="L271" s="498"/>
      <x:c r="M271" s="498"/>
      <x:c r="N271" s="498"/>
    </x:row>
    <x:row r="272" ht="18" customHeight="1">
      <x:c r="A272" s="498"/>
      <x:c r="B272" s="498"/>
      <x:c r="C272" s="498"/>
      <x:c r="D272" s="498"/>
      <x:c r="E272" s="498"/>
      <x:c r="F272" s="498"/>
      <x:c r="G272" s="498"/>
      <x:c r="H272" s="498"/>
      <x:c r="I272" s="498"/>
      <x:c r="J272" s="498"/>
      <x:c r="K272" s="498"/>
      <x:c r="L272" s="498"/>
      <x:c r="M272" s="498"/>
      <x:c r="N272" s="498"/>
    </x:row>
    <x:row r="273" ht="18" customHeight="1">
      <x:c r="A273" s="498"/>
      <x:c r="B273" s="525" t="str">
        <x:v>12 · Temps passé sur les adultes et reproduction</x:v>
      </x:c>
      <x:c r="C273" s="525" t="str">
        <x:v>12 · Temps passé sur les adultes et reproduction</x:v>
      </x:c>
      <x:c r="D273" s="525" t="str">
        <x:v>12 · Temps passé sur les adultes et reproduction</x:v>
      </x:c>
      <x:c r="E273" s="525" t="str">
        <x:v>12 · Temps passé sur les adultes et reproduction</x:v>
      </x:c>
      <x:c r="F273" s="525" t="str">
        <x:v>12 · Temps passé sur les adultes et reproduction</x:v>
      </x:c>
      <x:c r="G273" s="525" t="str">
        <x:v>12 · Temps passé sur les adultes et reproduction</x:v>
      </x:c>
      <x:c r="H273" s="525" t="str">
        <x:v>12 · Temps passé sur les adultes et reproduction</x:v>
      </x:c>
      <x:c r="I273" s="525" t="str">
        <x:v>12 · Temps passé sur les adultes et reproduction</x:v>
      </x:c>
      <x:c r="J273" s="525" t="str">
        <x:v>12 · Temps passé sur les adultes et reproduction</x:v>
      </x:c>
      <x:c r="K273" s="525" t="str">
        <x:v>12 · Temps passé sur les adultes et reproduction</x:v>
      </x:c>
      <x:c r="L273" s="525" t="str">
        <x:v>12 · Temps passé sur les adultes et reproduction</x:v>
      </x:c>
      <x:c r="M273" s="525" t="str">
        <x:v>12 · Temps passé sur les adultes et reproduction</x:v>
      </x:c>
      <x:c r="N273" s="525" t="str">
        <x:v>12 · Temps passé sur les adultes et reproduction</x:v>
      </x:c>
    </x:row>
    <x:row r="274" ht="18" customHeight="1">
      <x:c r="A274" s="498"/>
      <x:c r="B274" s="525" t="str">
        <x:v>12 · Temps passé sur les adultes et reproduction</x:v>
      </x:c>
      <x:c r="C274" s="525" t="str">
        <x:v>12 · Temps passé sur les adultes et reproduction</x:v>
      </x:c>
      <x:c r="D274" s="525" t="str">
        <x:v>12 · Temps passé sur les adultes et reproduction</x:v>
      </x:c>
      <x:c r="E274" s="525" t="str">
        <x:v>12 · Temps passé sur les adultes et reproduction</x:v>
      </x:c>
      <x:c r="F274" s="525" t="str">
        <x:v>12 · Temps passé sur les adultes et reproduction</x:v>
      </x:c>
      <x:c r="G274" s="525" t="str">
        <x:v>12 · Temps passé sur les adultes et reproduction</x:v>
      </x:c>
      <x:c r="H274" s="525" t="str">
        <x:v>12 · Temps passé sur les adultes et reproduction</x:v>
      </x:c>
      <x:c r="I274" s="525" t="str">
        <x:v>12 · Temps passé sur les adultes et reproduction</x:v>
      </x:c>
      <x:c r="J274" s="525" t="str">
        <x:v>12 · Temps passé sur les adultes et reproduction</x:v>
      </x:c>
      <x:c r="K274" s="525" t="str">
        <x:v>12 · Temps passé sur les adultes et reproduction</x:v>
      </x:c>
      <x:c r="L274" s="525" t="str">
        <x:v>12 · Temps passé sur les adultes et reproduction</x:v>
      </x:c>
      <x:c r="M274" s="525" t="str">
        <x:v>12 · Temps passé sur les adultes et reproduction</x:v>
      </x:c>
      <x:c r="N274" s="525" t="str">
        <x:v>12 · Temps passé sur les adultes et reproduction</x:v>
      </x:c>
    </x:row>
    <x:row r="275" ht="18" customHeight="1">
      <x:c r="A275" s="498"/>
      <x:c r="B275" s="520" t="str">
        <x:v>Données à étudier — image 14 ; référence à Boot (1995) dans le classeur</x:v>
      </x:c>
      <x:c r="C275" s="520" t="str">
        <x:v>Données à étudier — image 14 ; référence à Boot (1995) dans le classeur</x:v>
      </x:c>
      <x:c r="D275" s="520" t="str">
        <x:v>Données à étudier — image 14 ; référence à Boot (1995) dans le classeur</x:v>
      </x:c>
      <x:c r="E275" s="520" t="str">
        <x:v>Données à étudier — image 14 ; référence à Boot (1995) dans le classeur</x:v>
      </x:c>
      <x:c r="F275" s="520" t="str">
        <x:v>Données à étudier — image 14 ; référence à Boot (1995) dans le classeur</x:v>
      </x:c>
      <x:c r="G275" s="520" t="str">
        <x:v>Données à étudier — image 14 ; référence à Boot (1995) dans le classeur</x:v>
      </x:c>
      <x:c r="H275" s="520" t="str">
        <x:v>Données à étudier — image 14 ; référence à Boot (1995) dans le classeur</x:v>
      </x:c>
      <x:c r="I275" s="520" t="str">
        <x:v>Données à étudier — image 14 ; référence à Boot (1995) dans le classeur</x:v>
      </x:c>
      <x:c r="J275" s="520" t="str">
        <x:v>Données à étudier — image 14 ; référence à Boot (1995) dans le classeur</x:v>
      </x:c>
      <x:c r="K275" s="520" t="str">
        <x:v>Données à étudier — image 14 ; référence à Boot (1995) dans le classeur</x:v>
      </x:c>
      <x:c r="L275" s="520" t="str">
        <x:v>Données à étudier — image 14 ; référence à Boot (1995) dans le classeur</x:v>
      </x:c>
      <x:c r="M275" s="520" t="str">
        <x:v>Données à étudier — image 14 ; référence à Boot (1995) dans le classeur</x:v>
      </x:c>
      <x:c r="N275" s="520" t="str">
        <x:v>Données à étudier — image 14 ; référence à Boot (1995) dans le classeur</x:v>
      </x:c>
    </x:row>
    <x:row r="276" ht="18" customHeight="1">
      <x:c r="A276" s="498"/>
      <x:c r="B276" s="498"/>
      <x:c r="C276" s="498"/>
      <x:c r="D276" s="498"/>
      <x:c r="E276" s="498"/>
      <x:c r="F276" s="498"/>
      <x:c r="G276" s="498"/>
      <x:c r="H276" s="498"/>
      <x:c r="I276" s="498"/>
      <x:c r="J276" s="498"/>
      <x:c r="K276" s="498"/>
      <x:c r="L276" s="498"/>
      <x:c r="M276" s="498"/>
      <x:c r="N276" s="498"/>
    </x:row>
    <x:row r="277" ht="18" customHeight="1">
      <x:c r="A277" s="498"/>
      <x:c r="B277" s="498"/>
      <x:c r="C277" s="498"/>
      <x:c r="D277" s="498"/>
      <x:c r="E277" s="498"/>
      <x:c r="F277" s="498"/>
      <x:c r="G277" s="498"/>
      <x:c r="H277" s="498"/>
      <x:c r="I277" s="508" t="str">
        <x:v>Axe horizontal commun : temps écoulé depuis l’émergence hors des cellules de couvain (jours). « no data » : aucune donnée.</x:v>
      </x:c>
      <x:c r="J277" s="508" t="str">
        <x:v>Axe horizontal commun : temps écoulé depuis l’émergence hors des cellules de couvain (jours). « no data » : aucune donnée.</x:v>
      </x:c>
      <x:c r="K277" s="508" t="str">
        <x:v>Axe horizontal commun : temps écoulé depuis l’émergence hors des cellules de couvain (jours). « no data » : aucune donnée.</x:v>
      </x:c>
      <x:c r="L277" s="508" t="str">
        <x:v>Axe horizontal commun : temps écoulé depuis l’émergence hors des cellules de couvain (jours). « no data » : aucune donnée.</x:v>
      </x:c>
      <x:c r="M277" s="508" t="str">
        <x:v>Axe horizontal commun : temps écoulé depuis l’émergence hors des cellules de couvain (jours). « no data » : aucune donnée.</x:v>
      </x:c>
      <x:c r="N277" s="508" t="str">
        <x:v>Axe horizontal commun : temps écoulé depuis l’émergence hors des cellules de couvain (jours). « no data » : aucune donnée.</x:v>
      </x:c>
    </x:row>
    <x:row r="278" ht="18" customHeight="1">
      <x:c r="A278" s="498"/>
      <x:c r="B278" s="498"/>
      <x:c r="C278" s="498"/>
      <x:c r="D278" s="498"/>
      <x:c r="E278" s="498"/>
      <x:c r="F278" s="498"/>
      <x:c r="G278" s="498"/>
      <x:c r="H278" s="498"/>
      <x:c r="I278" s="508" t="str">
        <x:v>Axe horizontal commun : temps écoulé depuis l’émergence hors des cellules de couvain (jours). « no data » : aucune donnée.</x:v>
      </x:c>
      <x:c r="J278" s="508" t="str">
        <x:v>Axe horizontal commun : temps écoulé depuis l’émergence hors des cellules de couvain (jours). « no data » : aucune donnée.</x:v>
      </x:c>
      <x:c r="K278" s="508" t="str">
        <x:v>Axe horizontal commun : temps écoulé depuis l’émergence hors des cellules de couvain (jours). « no data » : aucune donnée.</x:v>
      </x:c>
      <x:c r="L278" s="508" t="str">
        <x:v>Axe horizontal commun : temps écoulé depuis l’émergence hors des cellules de couvain (jours). « no data » : aucune donnée.</x:v>
      </x:c>
      <x:c r="M278" s="508" t="str">
        <x:v>Axe horizontal commun : temps écoulé depuis l’émergence hors des cellules de couvain (jours). « no data » : aucune donnée.</x:v>
      </x:c>
      <x:c r="N278" s="508" t="str">
        <x:v>Axe horizontal commun : temps écoulé depuis l’émergence hors des cellules de couvain (jours). « no data » : aucune donnée.</x:v>
      </x:c>
    </x:row>
    <x:row r="279" ht="18" customHeight="1">
      <x:c r="A279" s="498"/>
      <x:c r="B279" s="498"/>
      <x:c r="C279" s="498"/>
      <x:c r="D279" s="498"/>
      <x:c r="E279" s="498"/>
      <x:c r="F279" s="498"/>
      <x:c r="G279" s="498"/>
      <x:c r="H279" s="498"/>
      <x:c r="I279" s="508" t="str">
        <x:v>Axe horizontal commun : temps écoulé depuis l’émergence hors des cellules de couvain (jours). « no data » : aucune donnée.</x:v>
      </x:c>
      <x:c r="J279" s="508" t="str">
        <x:v>Axe horizontal commun : temps écoulé depuis l’émergence hors des cellules de couvain (jours). « no data » : aucune donnée.</x:v>
      </x:c>
      <x:c r="K279" s="508" t="str">
        <x:v>Axe horizontal commun : temps écoulé depuis l’émergence hors des cellules de couvain (jours). « no data » : aucune donnée.</x:v>
      </x:c>
      <x:c r="L279" s="508" t="str">
        <x:v>Axe horizontal commun : temps écoulé depuis l’émergence hors des cellules de couvain (jours). « no data » : aucune donnée.</x:v>
      </x:c>
      <x:c r="M279" s="508" t="str">
        <x:v>Axe horizontal commun : temps écoulé depuis l’émergence hors des cellules de couvain (jours). « no data » : aucune donnée.</x:v>
      </x:c>
      <x:c r="N279" s="508" t="str">
        <x:v>Axe horizontal commun : temps écoulé depuis l’émergence hors des cellules de couvain (jours). « no data » : aucune donnée.</x:v>
      </x:c>
    </x:row>
    <x:row r="280" ht="18" customHeight="1">
      <x:c r="A280" s="498"/>
      <x:c r="B280" s="498"/>
      <x:c r="C280" s="498"/>
      <x:c r="D280" s="498"/>
      <x:c r="E280" s="498"/>
      <x:c r="F280" s="498"/>
      <x:c r="G280" s="498"/>
      <x:c r="H280" s="498"/>
      <x:c r="I280" s="498"/>
      <x:c r="J280" s="498"/>
      <x:c r="K280" s="498"/>
      <x:c r="L280" s="498"/>
      <x:c r="M280" s="498"/>
      <x:c r="N280" s="498"/>
    </x:row>
    <x:row r="281" ht="18" customHeight="1">
      <x:c r="A281" s="498"/>
      <x:c r="B281" s="498"/>
      <x:c r="C281" s="498"/>
      <x:c r="D281" s="498"/>
      <x:c r="E281" s="498"/>
      <x:c r="F281" s="498"/>
      <x:c r="G281" s="498"/>
      <x:c r="H281" s="498"/>
      <x:c r="I281" s="508" t="str">
        <x:v>(a) Nombre de cellules envahies par un seul varroa. (b) Proportion de varroas sans descendance. (c) Nombre de descendants par varroa reproducteur. (d) Nombre de filles viables par varroa reproducteur. (e) Proportion de varroas n’ayant que des descendants mâles.</x:v>
      </x:c>
      <x:c r="J281" s="508" t="str">
        <x:v>(a) Nombre de cellules envahies par un seul varroa. (b) Proportion de varroas sans descendance. (c) Nombre de descendants par varroa reproducteur. (d) Nombre de filles viables par varroa reproducteur. (e) Proportion de varroas n’ayant que des descendants mâles.</x:v>
      </x:c>
      <x:c r="K281" s="508" t="str">
        <x:v>(a) Nombre de cellules envahies par un seul varroa. (b) Proportion de varroas sans descendance. (c) Nombre de descendants par varroa reproducteur. (d) Nombre de filles viables par varroa reproducteur. (e) Proportion de varroas n’ayant que des descendants mâles.</x:v>
      </x:c>
      <x:c r="L281" s="508" t="str">
        <x:v>(a) Nombre de cellules envahies par un seul varroa. (b) Proportion de varroas sans descendance. (c) Nombre de descendants par varroa reproducteur. (d) Nombre de filles viables par varroa reproducteur. (e) Proportion de varroas n’ayant que des descendants mâles.</x:v>
      </x:c>
      <x:c r="M281" s="508" t="str">
        <x:v>(a) Nombre de cellules envahies par un seul varroa. (b) Proportion de varroas sans descendance. (c) Nombre de descendants par varroa reproducteur. (d) Nombre de filles viables par varroa reproducteur. (e) Proportion de varroas n’ayant que des descendants mâles.</x:v>
      </x:c>
      <x:c r="N281" s="508" t="str">
        <x:v>(a) Nombre de cellules envahies par un seul varroa. (b) Proportion de varroas sans descendance. (c) Nombre de descendants par varroa reproducteur. (d) Nombre de filles viables par varroa reproducteur. (e) Proportion de varroas n’ayant que des descendants mâles.</x:v>
      </x:c>
    </x:row>
    <x:row r="282" ht="18" customHeight="1">
      <x:c r="A282" s="498"/>
      <x:c r="B282" s="498"/>
      <x:c r="C282" s="498"/>
      <x:c r="D282" s="498"/>
      <x:c r="E282" s="498"/>
      <x:c r="F282" s="498"/>
      <x:c r="G282" s="498"/>
      <x:c r="H282" s="498"/>
      <x:c r="I282" s="508" t="str">
        <x:v>(a) Nombre de cellules envahies par un seul varroa. (b) Proportion de varroas sans descendance. (c) Nombre de descendants par varroa reproducteur. (d) Nombre de filles viables par varroa reproducteur. (e) Proportion de varroas n’ayant que des descendants mâles.</x:v>
      </x:c>
      <x:c r="J282" s="508" t="str">
        <x:v>(a) Nombre de cellules envahies par un seul varroa. (b) Proportion de varroas sans descendance. (c) Nombre de descendants par varroa reproducteur. (d) Nombre de filles viables par varroa reproducteur. (e) Proportion de varroas n’ayant que des descendants mâles.</x:v>
      </x:c>
      <x:c r="K282" s="508" t="str">
        <x:v>(a) Nombre de cellules envahies par un seul varroa. (b) Proportion de varroas sans descendance. (c) Nombre de descendants par varroa reproducteur. (d) Nombre de filles viables par varroa reproducteur. (e) Proportion de varroas n’ayant que des descendants mâles.</x:v>
      </x:c>
      <x:c r="L282" s="508" t="str">
        <x:v>(a) Nombre de cellules envahies par un seul varroa. (b) Proportion de varroas sans descendance. (c) Nombre de descendants par varroa reproducteur. (d) Nombre de filles viables par varroa reproducteur. (e) Proportion de varroas n’ayant que des descendants mâles.</x:v>
      </x:c>
      <x:c r="M282" s="508" t="str">
        <x:v>(a) Nombre de cellules envahies par un seul varroa. (b) Proportion de varroas sans descendance. (c) Nombre de descendants par varroa reproducteur. (d) Nombre de filles viables par varroa reproducteur. (e) Proportion de varroas n’ayant que des descendants mâles.</x:v>
      </x:c>
      <x:c r="N282" s="508" t="str">
        <x:v>(a) Nombre de cellules envahies par un seul varroa. (b) Proportion de varroas sans descendance. (c) Nombre de descendants par varroa reproducteur. (d) Nombre de filles viables par varroa reproducteur. (e) Proportion de varroas n’ayant que des descendants mâles.</x:v>
      </x:c>
    </x:row>
    <x:row r="283" ht="18" customHeight="1">
      <x:c r="A283" s="498"/>
      <x:c r="B283" s="498"/>
      <x:c r="C283" s="498"/>
      <x:c r="D283" s="498"/>
      <x:c r="E283" s="498"/>
      <x:c r="F283" s="498"/>
      <x:c r="G283" s="498"/>
      <x:c r="H283" s="498"/>
      <x:c r="I283" s="508" t="str">
        <x:v>(a) Nombre de cellules envahies par un seul varroa. (b) Proportion de varroas sans descendance. (c) Nombre de descendants par varroa reproducteur. (d) Nombre de filles viables par varroa reproducteur. (e) Proportion de varroas n’ayant que des descendants mâles.</x:v>
      </x:c>
      <x:c r="J283" s="508" t="str">
        <x:v>(a) Nombre de cellules envahies par un seul varroa. (b) Proportion de varroas sans descendance. (c) Nombre de descendants par varroa reproducteur. (d) Nombre de filles viables par varroa reproducteur. (e) Proportion de varroas n’ayant que des descendants mâles.</x:v>
      </x:c>
      <x:c r="K283" s="508" t="str">
        <x:v>(a) Nombre de cellules envahies par un seul varroa. (b) Proportion de varroas sans descendance. (c) Nombre de descendants par varroa reproducteur. (d) Nombre de filles viables par varroa reproducteur. (e) Proportion de varroas n’ayant que des descendants mâles.</x:v>
      </x:c>
      <x:c r="L283" s="508" t="str">
        <x:v>(a) Nombre de cellules envahies par un seul varroa. (b) Proportion de varroas sans descendance. (c) Nombre de descendants par varroa reproducteur. (d) Nombre de filles viables par varroa reproducteur. (e) Proportion de varroas n’ayant que des descendants mâles.</x:v>
      </x:c>
      <x:c r="M283" s="508" t="str">
        <x:v>(a) Nombre de cellules envahies par un seul varroa. (b) Proportion de varroas sans descendance. (c) Nombre de descendants par varroa reproducteur. (d) Nombre de filles viables par varroa reproducteur. (e) Proportion de varroas n’ayant que des descendants mâles.</x:v>
      </x:c>
      <x:c r="N283" s="508" t="str">
        <x:v>(a) Nombre de cellules envahies par un seul varroa. (b) Proportion de varroas sans descendance. (c) Nombre de descendants par varroa reproducteur. (d) Nombre de filles viables par varroa reproducteur. (e) Proportion de varroas n’ayant que des descendants mâles.</x:v>
      </x:c>
    </x:row>
    <x:row r="284" ht="18" customHeight="1">
      <x:c r="A284" s="498"/>
      <x:c r="B284" s="498"/>
      <x:c r="C284" s="498"/>
      <x:c r="D284" s="498"/>
      <x:c r="E284" s="498"/>
      <x:c r="F284" s="498"/>
      <x:c r="G284" s="498"/>
      <x:c r="H284" s="498"/>
      <x:c r="I284" s="508" t="str">
        <x:v>(a) Nombre de cellules envahies par un seul varroa. (b) Proportion de varroas sans descendance. (c) Nombre de descendants par varroa reproducteur. (d) Nombre de filles viables par varroa reproducteur. (e) Proportion de varroas n’ayant que des descendants mâles.</x:v>
      </x:c>
      <x:c r="J284" s="508" t="str">
        <x:v>(a) Nombre de cellules envahies par un seul varroa. (b) Proportion de varroas sans descendance. (c) Nombre de descendants par varroa reproducteur. (d) Nombre de filles viables par varroa reproducteur. (e) Proportion de varroas n’ayant que des descendants mâles.</x:v>
      </x:c>
      <x:c r="K284" s="508" t="str">
        <x:v>(a) Nombre de cellules envahies par un seul varroa. (b) Proportion de varroas sans descendance. (c) Nombre de descendants par varroa reproducteur. (d) Nombre de filles viables par varroa reproducteur. (e) Proportion de varroas n’ayant que des descendants mâles.</x:v>
      </x:c>
      <x:c r="L284" s="508" t="str">
        <x:v>(a) Nombre de cellules envahies par un seul varroa. (b) Proportion de varroas sans descendance. (c) Nombre de descendants par varroa reproducteur. (d) Nombre de filles viables par varroa reproducteur. (e) Proportion de varroas n’ayant que des descendants mâles.</x:v>
      </x:c>
      <x:c r="M284" s="508" t="str">
        <x:v>(a) Nombre de cellules envahies par un seul varroa. (b) Proportion de varroas sans descendance. (c) Nombre de descendants par varroa reproducteur. (d) Nombre de filles viables par varroa reproducteur. (e) Proportion de varroas n’ayant que des descendants mâles.</x:v>
      </x:c>
      <x:c r="N284" s="508" t="str">
        <x:v>(a) Nombre de cellules envahies par un seul varroa. (b) Proportion de varroas sans descendance. (c) Nombre de descendants par varroa reproducteur. (d) Nombre de filles viables par varroa reproducteur. (e) Proportion de varroas n’ayant que des descendants mâles.</x:v>
      </x:c>
    </x:row>
    <x:row r="285" ht="18" customHeight="1">
      <x:c r="A285" s="498"/>
      <x:c r="B285" s="498"/>
      <x:c r="C285" s="498"/>
      <x:c r="D285" s="498"/>
      <x:c r="E285" s="498"/>
      <x:c r="F285" s="498"/>
      <x:c r="G285" s="498"/>
      <x:c r="H285" s="498"/>
      <x:c r="I285" s="508" t="str">
        <x:v>(a) Nombre de cellules envahies par un seul varroa. (b) Proportion de varroas sans descendance. (c) Nombre de descendants par varroa reproducteur. (d) Nombre de filles viables par varroa reproducteur. (e) Proportion de varroas n’ayant que des descendants mâles.</x:v>
      </x:c>
      <x:c r="J285" s="508" t="str">
        <x:v>(a) Nombre de cellules envahies par un seul varroa. (b) Proportion de varroas sans descendance. (c) Nombre de descendants par varroa reproducteur. (d) Nombre de filles viables par varroa reproducteur. (e) Proportion de varroas n’ayant que des descendants mâles.</x:v>
      </x:c>
      <x:c r="K285" s="508" t="str">
        <x:v>(a) Nombre de cellules envahies par un seul varroa. (b) Proportion de varroas sans descendance. (c) Nombre de descendants par varroa reproducteur. (d) Nombre de filles viables par varroa reproducteur. (e) Proportion de varroas n’ayant que des descendants mâles.</x:v>
      </x:c>
      <x:c r="L285" s="508" t="str">
        <x:v>(a) Nombre de cellules envahies par un seul varroa. (b) Proportion de varroas sans descendance. (c) Nombre de descendants par varroa reproducteur. (d) Nombre de filles viables par varroa reproducteur. (e) Proportion de varroas n’ayant que des descendants mâles.</x:v>
      </x:c>
      <x:c r="M285" s="508" t="str">
        <x:v>(a) Nombre de cellules envahies par un seul varroa. (b) Proportion de varroas sans descendance. (c) Nombre de descendants par varroa reproducteur. (d) Nombre de filles viables par varroa reproducteur. (e) Proportion de varroas n’ayant que des descendants mâles.</x:v>
      </x:c>
      <x:c r="N285" s="508" t="str">
        <x:v>(a) Nombre de cellules envahies par un seul varroa. (b) Proportion de varroas sans descendance. (c) Nombre de descendants par varroa reproducteur. (d) Nombre de filles viables par varroa reproducteur. (e) Proportion de varroas n’ayant que des descendants mâles.</x:v>
      </x:c>
    </x:row>
    <x:row r="286" ht="18" customHeight="1">
      <x:c r="A286" s="498"/>
      <x:c r="B286" s="498"/>
      <x:c r="C286" s="498"/>
      <x:c r="D286" s="498"/>
      <x:c r="E286" s="498"/>
      <x:c r="F286" s="498"/>
      <x:c r="G286" s="498"/>
      <x:c r="H286" s="498"/>
      <x:c r="I286" s="498"/>
      <x:c r="J286" s="498"/>
      <x:c r="K286" s="498"/>
      <x:c r="L286" s="498"/>
      <x:c r="M286" s="498"/>
      <x:c r="N286" s="498"/>
    </x:row>
    <x:row r="287" ht="18" customHeight="1">
      <x:c r="A287" s="498"/>
      <x:c r="B287" s="498"/>
      <x:c r="C287" s="498"/>
      <x:c r="D287" s="498"/>
      <x:c r="E287" s="498"/>
      <x:c r="F287" s="498"/>
      <x:c r="G287" s="498"/>
      <x:c r="H287" s="498"/>
      <x:c r="I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87"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88" ht="18" customHeight="1">
      <x:c r="A288" s="498"/>
      <x:c r="B288" s="498"/>
      <x:c r="C288" s="498"/>
      <x:c r="D288" s="498"/>
      <x:c r="E288" s="498"/>
      <x:c r="F288" s="498"/>
      <x:c r="G288" s="498"/>
      <x:c r="H288" s="498"/>
      <x:c r="I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88"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89" ht="18" customHeight="1">
      <x:c r="A289" s="498"/>
      <x:c r="B289" s="498"/>
      <x:c r="C289" s="498"/>
      <x:c r="D289" s="498"/>
      <x:c r="E289" s="498"/>
      <x:c r="F289" s="498"/>
      <x:c r="G289" s="498"/>
      <x:c r="H289" s="498"/>
      <x:c r="I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89"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0" ht="18" customHeight="1">
      <x:c r="A290" s="498"/>
      <x:c r="B290" s="498"/>
      <x:c r="C290" s="498"/>
      <x:c r="D290" s="498"/>
      <x:c r="E290" s="498"/>
      <x:c r="F290" s="498"/>
      <x:c r="G290" s="498"/>
      <x:c r="H290" s="498"/>
      <x:c r="I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90"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1" ht="18" customHeight="1">
      <x:c r="A291" s="498"/>
      <x:c r="B291" s="498"/>
      <x:c r="C291" s="498"/>
      <x:c r="D291" s="498"/>
      <x:c r="E291" s="498"/>
      <x:c r="F291" s="498"/>
      <x:c r="G291" s="498"/>
      <x:c r="H291" s="498"/>
      <x:c r="I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91"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2" ht="18" customHeight="1">
      <x:c r="A292" s="498"/>
      <x:c r="B292" s="498"/>
      <x:c r="C292" s="498"/>
      <x:c r="D292" s="498"/>
      <x:c r="E292" s="498"/>
      <x:c r="F292" s="498"/>
      <x:c r="G292" s="498"/>
      <x:c r="H292" s="498"/>
      <x:c r="I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92"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3" ht="18" customHeight="1">
      <x:c r="A293" s="498"/>
      <x:c r="B293" s="498"/>
      <x:c r="C293" s="498"/>
      <x:c r="D293" s="498"/>
      <x:c r="E293" s="498"/>
      <x:c r="F293" s="498"/>
      <x:c r="G293" s="498"/>
      <x:c r="H293" s="498"/>
      <x:c r="I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93"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4" ht="18" customHeight="1">
      <x:c r="A294" s="498"/>
      <x:c r="B294" s="498"/>
      <x:c r="C294" s="498"/>
      <x:c r="D294" s="498"/>
      <x:c r="E294" s="498"/>
      <x:c r="F294" s="498"/>
      <x:c r="G294" s="498"/>
      <x:c r="H294" s="498"/>
      <x:c r="I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J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K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L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M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c r="N294" s="508" t="str">
        <x:v>Figure 2. Nombre de cellules envahies par un seul varroa (a), proportion de varroas sans descendance (b), nombre de descendants par varroa reproducteur (c), nombre de filles viables par varroa reproducteur (d) et proportion de varroas n’ayant que des descendants mâles (e), en fonction de la durée passée sur les abeilles adultes. Seules les données de la série 2 sont présentées. L’astérisque indique le jour où les varroas ont été introduits dans la colonie.</x:v>
      </x:c>
    </x:row>
    <x:row r="295" ht="18" customHeight="1">
      <x:c r="A295" s="498"/>
      <x:c r="B295" s="498"/>
      <x:c r="C295" s="498"/>
      <x:c r="D295" s="498"/>
      <x:c r="E295" s="498"/>
      <x:c r="F295" s="498"/>
      <x:c r="G295" s="498"/>
      <x:c r="H295" s="498"/>
      <x:c r="I295" s="498"/>
      <x:c r="J295" s="498"/>
      <x:c r="K295" s="498"/>
      <x:c r="L295" s="498"/>
      <x:c r="M295" s="498"/>
      <x:c r="N295" s="498"/>
    </x:row>
    <x:row r="296" ht="18" customHeight="1">
      <x:c r="A296" s="498"/>
      <x:c r="B296" s="498"/>
      <x:c r="C296" s="498"/>
      <x:c r="D296" s="498"/>
      <x:c r="E296" s="498"/>
      <x:c r="F296" s="498"/>
      <x:c r="G296" s="498"/>
      <x:c r="H296" s="498"/>
      <x:c r="I296" s="498"/>
      <x:c r="J296" s="498"/>
      <x:c r="K296" s="498"/>
      <x:c r="L296" s="498"/>
      <x:c r="M296" s="498"/>
      <x:c r="N296" s="498"/>
    </x:row>
    <x:row r="297" ht="18" customHeight="1">
      <x:c r="A297" s="498"/>
      <x:c r="B297" s="498"/>
      <x:c r="C297" s="498"/>
      <x:c r="D297" s="498"/>
      <x:c r="E297" s="498"/>
      <x:c r="F297" s="498"/>
      <x:c r="G297" s="498"/>
      <x:c r="H297" s="498"/>
      <x:c r="I297" s="498"/>
      <x:c r="J297" s="498"/>
      <x:c r="K297" s="498"/>
      <x:c r="L297" s="498"/>
      <x:c r="M297" s="498"/>
      <x:c r="N297" s="498"/>
    </x:row>
    <x:row r="298" ht="18" customHeight="1">
      <x:c r="A298" s="498"/>
      <x:c r="B298" s="525" t="str">
        <x:v>13 · Co-infestation et taux de reproduction</x:v>
      </x:c>
      <x:c r="C298" s="525" t="str">
        <x:v>13 · Co-infestation et taux de reproduction</x:v>
      </x:c>
      <x:c r="D298" s="525" t="str">
        <x:v>13 · Co-infestation et taux de reproduction</x:v>
      </x:c>
      <x:c r="E298" s="525" t="str">
        <x:v>13 · Co-infestation et taux de reproduction</x:v>
      </x:c>
      <x:c r="F298" s="525" t="str">
        <x:v>13 · Co-infestation et taux de reproduction</x:v>
      </x:c>
      <x:c r="G298" s="525" t="str">
        <x:v>13 · Co-infestation et taux de reproduction</x:v>
      </x:c>
      <x:c r="H298" s="525" t="str">
        <x:v>13 · Co-infestation et taux de reproduction</x:v>
      </x:c>
      <x:c r="I298" s="525" t="str">
        <x:v>13 · Co-infestation et taux de reproduction</x:v>
      </x:c>
      <x:c r="J298" s="525" t="str">
        <x:v>13 · Co-infestation et taux de reproduction</x:v>
      </x:c>
      <x:c r="K298" s="525" t="str">
        <x:v>13 · Co-infestation et taux de reproduction</x:v>
      </x:c>
      <x:c r="L298" s="525" t="str">
        <x:v>13 · Co-infestation et taux de reproduction</x:v>
      </x:c>
      <x:c r="M298" s="525" t="str">
        <x:v>13 · Co-infestation et taux de reproduction</x:v>
      </x:c>
      <x:c r="N298" s="525" t="str">
        <x:v>13 · Co-infestation et taux de reproduction</x:v>
      </x:c>
    </x:row>
    <x:row r="299" ht="18" customHeight="1">
      <x:c r="A299" s="498"/>
      <x:c r="B299" s="525" t="str">
        <x:v>13 · Co-infestation et taux de reproduction</x:v>
      </x:c>
      <x:c r="C299" s="525" t="str">
        <x:v>13 · Co-infestation et taux de reproduction</x:v>
      </x:c>
      <x:c r="D299" s="525" t="str">
        <x:v>13 · Co-infestation et taux de reproduction</x:v>
      </x:c>
      <x:c r="E299" s="525" t="str">
        <x:v>13 · Co-infestation et taux de reproduction</x:v>
      </x:c>
      <x:c r="F299" s="525" t="str">
        <x:v>13 · Co-infestation et taux de reproduction</x:v>
      </x:c>
      <x:c r="G299" s="525" t="str">
        <x:v>13 · Co-infestation et taux de reproduction</x:v>
      </x:c>
      <x:c r="H299" s="525" t="str">
        <x:v>13 · Co-infestation et taux de reproduction</x:v>
      </x:c>
      <x:c r="I299" s="525" t="str">
        <x:v>13 · Co-infestation et taux de reproduction</x:v>
      </x:c>
      <x:c r="J299" s="525" t="str">
        <x:v>13 · Co-infestation et taux de reproduction</x:v>
      </x:c>
      <x:c r="K299" s="525" t="str">
        <x:v>13 · Co-infestation et taux de reproduction</x:v>
      </x:c>
      <x:c r="L299" s="525" t="str">
        <x:v>13 · Co-infestation et taux de reproduction</x:v>
      </x:c>
      <x:c r="M299" s="525" t="str">
        <x:v>13 · Co-infestation et taux de reproduction</x:v>
      </x:c>
      <x:c r="N299" s="525" t="str">
        <x:v>13 · Co-infestation et taux de reproduction</x:v>
      </x:c>
    </x:row>
    <x:row r="300" ht="18" customHeight="1">
      <x:c r="A300" s="498"/>
      <x:c r="B300" s="520" t="str">
        <x:v>Données à étudier — image 15 ; Floris, Pusceddu et Satta (2020)</x:v>
      </x:c>
      <x:c r="C300" s="520" t="str">
        <x:v>Données à étudier — image 15 ; Floris, Pusceddu et Satta (2020)</x:v>
      </x:c>
      <x:c r="D300" s="520" t="str">
        <x:v>Données à étudier — image 15 ; Floris, Pusceddu et Satta (2020)</x:v>
      </x:c>
      <x:c r="E300" s="520" t="str">
        <x:v>Données à étudier — image 15 ; Floris, Pusceddu et Satta (2020)</x:v>
      </x:c>
      <x:c r="F300" s="520" t="str">
        <x:v>Données à étudier — image 15 ; Floris, Pusceddu et Satta (2020)</x:v>
      </x:c>
      <x:c r="G300" s="520" t="str">
        <x:v>Données à étudier — image 15 ; Floris, Pusceddu et Satta (2020)</x:v>
      </x:c>
      <x:c r="H300" s="520" t="str">
        <x:v>Données à étudier — image 15 ; Floris, Pusceddu et Satta (2020)</x:v>
      </x:c>
      <x:c r="I300" s="520" t="str">
        <x:v>Données à étudier — image 15 ; Floris, Pusceddu et Satta (2020)</x:v>
      </x:c>
      <x:c r="J300" s="520" t="str">
        <x:v>Données à étudier — image 15 ; Floris, Pusceddu et Satta (2020)</x:v>
      </x:c>
      <x:c r="K300" s="520" t="str">
        <x:v>Données à étudier — image 15 ; Floris, Pusceddu et Satta (2020)</x:v>
      </x:c>
      <x:c r="L300" s="520" t="str">
        <x:v>Données à étudier — image 15 ; Floris, Pusceddu et Satta (2020)</x:v>
      </x:c>
      <x:c r="M300" s="520" t="str">
        <x:v>Données à étudier — image 15 ; Floris, Pusceddu et Satta (2020)</x:v>
      </x:c>
      <x:c r="N300" s="520" t="str">
        <x:v>Données à étudier — image 15 ; Floris, Pusceddu et Satta (2020)</x:v>
      </x:c>
    </x:row>
    <x:row r="301" ht="18" customHeight="1">
      <x:c r="A301" s="498"/>
      <x:c r="B301" s="498"/>
      <x:c r="C301" s="498"/>
      <x:c r="D301" s="498"/>
      <x:c r="E301" s="498"/>
      <x:c r="F301" s="498"/>
      <x:c r="G301" s="498"/>
      <x:c r="H301" s="498"/>
      <x:c r="I301" s="498"/>
      <x:c r="J301" s="498"/>
      <x:c r="K301" s="498"/>
      <x:c r="L301" s="498"/>
      <x:c r="M301" s="498"/>
      <x:c r="N301" s="498"/>
    </x:row>
    <x:row r="302" ht="18" customHeight="1">
      <x:c r="A302" s="498"/>
      <x:c r="B302" s="498"/>
      <x:c r="C302" s="498"/>
      <x:c r="D302" s="498"/>
      <x:c r="E302" s="498"/>
      <x:c r="F302" s="498"/>
      <x:c r="G302" s="498"/>
      <x:c r="H302" s="498"/>
      <x:c r="I302" s="508" t="str">
        <x:v>Figure 3. Relation entre le nombre moyen de varroas fondatrices par cellule infestée de couvain d’ouvrières et la diminution de leur taux de reproduction.</x:v>
      </x:c>
      <x:c r="J302" s="508" t="str">
        <x:v>Figure 3. Relation entre le nombre moyen de varroas fondatrices par cellule infestée de couvain d’ouvrières et la diminution de leur taux de reproduction.</x:v>
      </x:c>
      <x:c r="K302" s="508" t="str">
        <x:v>Figure 3. Relation entre le nombre moyen de varroas fondatrices par cellule infestée de couvain d’ouvrières et la diminution de leur taux de reproduction.</x:v>
      </x:c>
      <x:c r="L302" s="508" t="str">
        <x:v>Figure 3. Relation entre le nombre moyen de varroas fondatrices par cellule infestée de couvain d’ouvrières et la diminution de leur taux de reproduction.</x:v>
      </x:c>
      <x:c r="M302" s="508" t="str">
        <x:v>Figure 3. Relation entre le nombre moyen de varroas fondatrices par cellule infestée de couvain d’ouvrières et la diminution de leur taux de reproduction.</x:v>
      </x:c>
      <x:c r="N302" s="508" t="str">
        <x:v>Figure 3. Relation entre le nombre moyen de varroas fondatrices par cellule infestée de couvain d’ouvrières et la diminution de leur taux de reproduction.</x:v>
      </x:c>
    </x:row>
    <x:row r="303" ht="18" customHeight="1">
      <x:c r="A303" s="498"/>
      <x:c r="B303" s="498"/>
      <x:c r="C303" s="498"/>
      <x:c r="D303" s="498"/>
      <x:c r="E303" s="498"/>
      <x:c r="F303" s="498"/>
      <x:c r="G303" s="498"/>
      <x:c r="H303" s="498"/>
      <x:c r="I303" s="508" t="str">
        <x:v>Figure 3. Relation entre le nombre moyen de varroas fondatrices par cellule infestée de couvain d’ouvrières et la diminution de leur taux de reproduction.</x:v>
      </x:c>
      <x:c r="J303" s="508" t="str">
        <x:v>Figure 3. Relation entre le nombre moyen de varroas fondatrices par cellule infestée de couvain d’ouvrières et la diminution de leur taux de reproduction.</x:v>
      </x:c>
      <x:c r="K303" s="508" t="str">
        <x:v>Figure 3. Relation entre le nombre moyen de varroas fondatrices par cellule infestée de couvain d’ouvrières et la diminution de leur taux de reproduction.</x:v>
      </x:c>
      <x:c r="L303" s="508" t="str">
        <x:v>Figure 3. Relation entre le nombre moyen de varroas fondatrices par cellule infestée de couvain d’ouvrières et la diminution de leur taux de reproduction.</x:v>
      </x:c>
      <x:c r="M303" s="508" t="str">
        <x:v>Figure 3. Relation entre le nombre moyen de varroas fondatrices par cellule infestée de couvain d’ouvrières et la diminution de leur taux de reproduction.</x:v>
      </x:c>
      <x:c r="N303" s="508" t="str">
        <x:v>Figure 3. Relation entre le nombre moyen de varroas fondatrices par cellule infestée de couvain d’ouvrières et la diminution de leur taux de reproduction.</x:v>
      </x:c>
    </x:row>
    <x:row r="304" ht="18" customHeight="1">
      <x:c r="A304" s="498"/>
      <x:c r="B304" s="498"/>
      <x:c r="C304" s="498"/>
      <x:c r="D304" s="498"/>
      <x:c r="E304" s="498"/>
      <x:c r="F304" s="498"/>
      <x:c r="G304" s="498"/>
      <x:c r="H304" s="498"/>
      <x:c r="I304" s="508" t="str">
        <x:v>Figure 3. Relation entre le nombre moyen de varroas fondatrices par cellule infestée de couvain d’ouvrières et la diminution de leur taux de reproduction.</x:v>
      </x:c>
      <x:c r="J304" s="508" t="str">
        <x:v>Figure 3. Relation entre le nombre moyen de varroas fondatrices par cellule infestée de couvain d’ouvrières et la diminution de leur taux de reproduction.</x:v>
      </x:c>
      <x:c r="K304" s="508" t="str">
        <x:v>Figure 3. Relation entre le nombre moyen de varroas fondatrices par cellule infestée de couvain d’ouvrières et la diminution de leur taux de reproduction.</x:v>
      </x:c>
      <x:c r="L304" s="508" t="str">
        <x:v>Figure 3. Relation entre le nombre moyen de varroas fondatrices par cellule infestée de couvain d’ouvrières et la diminution de leur taux de reproduction.</x:v>
      </x:c>
      <x:c r="M304" s="508" t="str">
        <x:v>Figure 3. Relation entre le nombre moyen de varroas fondatrices par cellule infestée de couvain d’ouvrières et la diminution de leur taux de reproduction.</x:v>
      </x:c>
      <x:c r="N304" s="508" t="str">
        <x:v>Figure 3. Relation entre le nombre moyen de varroas fondatrices par cellule infestée de couvain d’ouvrières et la diminution de leur taux de reproduction.</x:v>
      </x:c>
    </x:row>
    <x:row r="305" ht="18" customHeight="1">
      <x:c r="A305" s="498"/>
      <x:c r="B305" s="498"/>
      <x:c r="C305" s="498"/>
      <x:c r="D305" s="498"/>
      <x:c r="E305" s="498"/>
      <x:c r="F305" s="498"/>
      <x:c r="G305" s="498"/>
      <x:c r="H305" s="498"/>
      <x:c r="I305" s="508" t="str">
        <x:v>Figure 3. Relation entre le nombre moyen de varroas fondatrices par cellule infestée de couvain d’ouvrières et la diminution de leur taux de reproduction.</x:v>
      </x:c>
      <x:c r="J305" s="508" t="str">
        <x:v>Figure 3. Relation entre le nombre moyen de varroas fondatrices par cellule infestée de couvain d’ouvrières et la diminution de leur taux de reproduction.</x:v>
      </x:c>
      <x:c r="K305" s="508" t="str">
        <x:v>Figure 3. Relation entre le nombre moyen de varroas fondatrices par cellule infestée de couvain d’ouvrières et la diminution de leur taux de reproduction.</x:v>
      </x:c>
      <x:c r="L305" s="508" t="str">
        <x:v>Figure 3. Relation entre le nombre moyen de varroas fondatrices par cellule infestée de couvain d’ouvrières et la diminution de leur taux de reproduction.</x:v>
      </x:c>
      <x:c r="M305" s="508" t="str">
        <x:v>Figure 3. Relation entre le nombre moyen de varroas fondatrices par cellule infestée de couvain d’ouvrières et la diminution de leur taux de reproduction.</x:v>
      </x:c>
      <x:c r="N305" s="508" t="str">
        <x:v>Figure 3. Relation entre le nombre moyen de varroas fondatrices par cellule infestée de couvain d’ouvrières et la diminution de leur taux de reproduction.</x:v>
      </x:c>
    </x:row>
    <x:row r="306" ht="18" customHeight="1">
      <x:c r="A306" s="498"/>
      <x:c r="B306" s="498"/>
      <x:c r="C306" s="498"/>
      <x:c r="D306" s="498"/>
      <x:c r="E306" s="498"/>
      <x:c r="F306" s="498"/>
      <x:c r="G306" s="498"/>
      <x:c r="H306" s="498"/>
      <x:c r="I306" s="498"/>
      <x:c r="J306" s="498"/>
      <x:c r="K306" s="498"/>
      <x:c r="L306" s="498"/>
      <x:c r="M306" s="498"/>
      <x:c r="N306" s="498"/>
    </x:row>
    <x:row r="307" ht="18" customHeight="1">
      <x:c r="A307" s="498"/>
      <x:c r="B307" s="498"/>
      <x:c r="C307" s="498"/>
      <x:c r="D307" s="498"/>
      <x:c r="E307" s="498"/>
      <x:c r="F307" s="498"/>
      <x:c r="G307" s="498"/>
      <x:c r="H307" s="498"/>
      <x:c r="I307" s="508" t="str">
        <x:v>Axe vertical : taux moyen de reproduction d’une femelle varroa. Axe horizontal : nombre moyen de varroas mères par cellule infestée.</x:v>
      </x:c>
      <x:c r="J307" s="508" t="str">
        <x:v>Axe vertical : taux moyen de reproduction d’une femelle varroa. Axe horizontal : nombre moyen de varroas mères par cellule infestée.</x:v>
      </x:c>
      <x:c r="K307" s="508" t="str">
        <x:v>Axe vertical : taux moyen de reproduction d’une femelle varroa. Axe horizontal : nombre moyen de varroas mères par cellule infestée.</x:v>
      </x:c>
      <x:c r="L307" s="508" t="str">
        <x:v>Axe vertical : taux moyen de reproduction d’une femelle varroa. Axe horizontal : nombre moyen de varroas mères par cellule infestée.</x:v>
      </x:c>
      <x:c r="M307" s="508" t="str">
        <x:v>Axe vertical : taux moyen de reproduction d’une femelle varroa. Axe horizontal : nombre moyen de varroas mères par cellule infestée.</x:v>
      </x:c>
      <x:c r="N307" s="508" t="str">
        <x:v>Axe vertical : taux moyen de reproduction d’une femelle varroa. Axe horizontal : nombre moyen de varroas mères par cellule infestée.</x:v>
      </x:c>
    </x:row>
    <x:row r="308" ht="18" customHeight="1">
      <x:c r="A308" s="498"/>
      <x:c r="B308" s="498"/>
      <x:c r="C308" s="498"/>
      <x:c r="D308" s="498"/>
      <x:c r="E308" s="498"/>
      <x:c r="F308" s="498"/>
      <x:c r="G308" s="498"/>
      <x:c r="H308" s="498"/>
      <x:c r="I308" s="508" t="str">
        <x:v>Axe vertical : taux moyen de reproduction d’une femelle varroa. Axe horizontal : nombre moyen de varroas mères par cellule infestée.</x:v>
      </x:c>
      <x:c r="J308" s="508" t="str">
        <x:v>Axe vertical : taux moyen de reproduction d’une femelle varroa. Axe horizontal : nombre moyen de varroas mères par cellule infestée.</x:v>
      </x:c>
      <x:c r="K308" s="508" t="str">
        <x:v>Axe vertical : taux moyen de reproduction d’une femelle varroa. Axe horizontal : nombre moyen de varroas mères par cellule infestée.</x:v>
      </x:c>
      <x:c r="L308" s="508" t="str">
        <x:v>Axe vertical : taux moyen de reproduction d’une femelle varroa. Axe horizontal : nombre moyen de varroas mères par cellule infestée.</x:v>
      </x:c>
      <x:c r="M308" s="508" t="str">
        <x:v>Axe vertical : taux moyen de reproduction d’une femelle varroa. Axe horizontal : nombre moyen de varroas mères par cellule infestée.</x:v>
      </x:c>
      <x:c r="N308" s="508" t="str">
        <x:v>Axe vertical : taux moyen de reproduction d’une femelle varroa. Axe horizontal : nombre moyen de varroas mères par cellule infestée.</x:v>
      </x:c>
    </x:row>
    <x:row r="309" ht="18" customHeight="1">
      <x:c r="A309" s="498"/>
      <x:c r="B309" s="498"/>
      <x:c r="C309" s="498"/>
      <x:c r="D309" s="498"/>
      <x:c r="E309" s="498"/>
      <x:c r="F309" s="498"/>
      <x:c r="G309" s="498"/>
      <x:c r="H309" s="498"/>
      <x:c r="I309" s="508" t="str">
        <x:v>Axe vertical : taux moyen de reproduction d’une femelle varroa. Axe horizontal : nombre moyen de varroas mères par cellule infestée.</x:v>
      </x:c>
      <x:c r="J309" s="508" t="str">
        <x:v>Axe vertical : taux moyen de reproduction d’une femelle varroa. Axe horizontal : nombre moyen de varroas mères par cellule infestée.</x:v>
      </x:c>
      <x:c r="K309" s="508" t="str">
        <x:v>Axe vertical : taux moyen de reproduction d’une femelle varroa. Axe horizontal : nombre moyen de varroas mères par cellule infestée.</x:v>
      </x:c>
      <x:c r="L309" s="508" t="str">
        <x:v>Axe vertical : taux moyen de reproduction d’une femelle varroa. Axe horizontal : nombre moyen de varroas mères par cellule infestée.</x:v>
      </x:c>
      <x:c r="M309" s="508" t="str">
        <x:v>Axe vertical : taux moyen de reproduction d’une femelle varroa. Axe horizontal : nombre moyen de varroas mères par cellule infestée.</x:v>
      </x:c>
      <x:c r="N309" s="508" t="str">
        <x:v>Axe vertical : taux moyen de reproduction d’une femelle varroa. Axe horizontal : nombre moyen de varroas mères par cellule infestée.</x:v>
      </x:c>
    </x:row>
    <x:row r="310" ht="18" customHeight="1">
      <x:c r="A310" s="498"/>
      <x:c r="B310" s="498"/>
      <x:c r="C310" s="498"/>
      <x:c r="D310" s="498"/>
      <x:c r="E310" s="498"/>
      <x:c r="F310" s="498"/>
      <x:c r="G310" s="498"/>
      <x:c r="H310" s="498"/>
      <x:c r="I310" s="508" t="str">
        <x:v>Axe vertical : taux moyen de reproduction d’une femelle varroa. Axe horizontal : nombre moyen de varroas mères par cellule infestée.</x:v>
      </x:c>
      <x:c r="J310" s="508" t="str">
        <x:v>Axe vertical : taux moyen de reproduction d’une femelle varroa. Axe horizontal : nombre moyen de varroas mères par cellule infestée.</x:v>
      </x:c>
      <x:c r="K310" s="508" t="str">
        <x:v>Axe vertical : taux moyen de reproduction d’une femelle varroa. Axe horizontal : nombre moyen de varroas mères par cellule infestée.</x:v>
      </x:c>
      <x:c r="L310" s="508" t="str">
        <x:v>Axe vertical : taux moyen de reproduction d’une femelle varroa. Axe horizontal : nombre moyen de varroas mères par cellule infestée.</x:v>
      </x:c>
      <x:c r="M310" s="508" t="str">
        <x:v>Axe vertical : taux moyen de reproduction d’une femelle varroa. Axe horizontal : nombre moyen de varroas mères par cellule infestée.</x:v>
      </x:c>
      <x:c r="N310" s="508" t="str">
        <x:v>Axe vertical : taux moyen de reproduction d’une femelle varroa. Axe horizontal : nombre moyen de varroas mères par cellule infestée.</x:v>
      </x:c>
    </x:row>
    <x:row r="311" ht="18" customHeight="1">
      <x:c r="A311" s="498"/>
      <x:c r="B311" s="498"/>
      <x:c r="C311" s="498"/>
      <x:c r="D311" s="498"/>
      <x:c r="E311" s="498"/>
      <x:c r="F311" s="498"/>
      <x:c r="G311" s="498"/>
      <x:c r="H311" s="498"/>
      <x:c r="I311" s="498"/>
      <x:c r="J311" s="498"/>
      <x:c r="K311" s="498"/>
      <x:c r="L311" s="498"/>
      <x:c r="M311" s="498"/>
      <x:c r="N311" s="498"/>
    </x:row>
    <x:row r="312" ht="18" customHeight="1">
      <x:c r="A312" s="498"/>
      <x:c r="B312" s="498"/>
      <x:c r="C312" s="498"/>
      <x:c r="D312" s="498"/>
      <x:c r="E312" s="498"/>
      <x:c r="F312" s="498"/>
      <x:c r="G312" s="498"/>
      <x:c r="H312" s="498"/>
      <x:c r="I312" s="508" t="str">
        <x:v>Équation : y = −0,0738x² + 0,0906x + 1,4239. R² = 0,9989. Les nombres de l’original sont conservés ; la virgule est utilisée ici comme séparateur décimal français.</x:v>
      </x:c>
      <x:c r="J312" s="508" t="str">
        <x:v>Équation : y = −0,0738x² + 0,0906x + 1,4239. R² = 0,9989. Les nombres de l’original sont conservés ; la virgule est utilisée ici comme séparateur décimal français.</x:v>
      </x:c>
      <x:c r="K312" s="508" t="str">
        <x:v>Équation : y = −0,0738x² + 0,0906x + 1,4239. R² = 0,9989. Les nombres de l’original sont conservés ; la virgule est utilisée ici comme séparateur décimal français.</x:v>
      </x:c>
      <x:c r="L312" s="508" t="str">
        <x:v>Équation : y = −0,0738x² + 0,0906x + 1,4239. R² = 0,9989. Les nombres de l’original sont conservés ; la virgule est utilisée ici comme séparateur décimal français.</x:v>
      </x:c>
      <x:c r="M312" s="508" t="str">
        <x:v>Équation : y = −0,0738x² + 0,0906x + 1,4239. R² = 0,9989. Les nombres de l’original sont conservés ; la virgule est utilisée ici comme séparateur décimal français.</x:v>
      </x:c>
      <x:c r="N312" s="508" t="str">
        <x:v>Équation : y = −0,0738x² + 0,0906x + 1,4239. R² = 0,9989. Les nombres de l’original sont conservés ; la virgule est utilisée ici comme séparateur décimal français.</x:v>
      </x:c>
    </x:row>
    <x:row r="313" ht="18" customHeight="1">
      <x:c r="A313" s="498"/>
      <x:c r="B313" s="498"/>
      <x:c r="C313" s="498"/>
      <x:c r="D313" s="498"/>
      <x:c r="E313" s="498"/>
      <x:c r="F313" s="498"/>
      <x:c r="G313" s="498"/>
      <x:c r="H313" s="498"/>
      <x:c r="I313" s="508" t="str">
        <x:v>Équation : y = −0,0738x² + 0,0906x + 1,4239. R² = 0,9989. Les nombres de l’original sont conservés ; la virgule est utilisée ici comme séparateur décimal français.</x:v>
      </x:c>
      <x:c r="J313" s="508" t="str">
        <x:v>Équation : y = −0,0738x² + 0,0906x + 1,4239. R² = 0,9989. Les nombres de l’original sont conservés ; la virgule est utilisée ici comme séparateur décimal français.</x:v>
      </x:c>
      <x:c r="K313" s="508" t="str">
        <x:v>Équation : y = −0,0738x² + 0,0906x + 1,4239. R² = 0,9989. Les nombres de l’original sont conservés ; la virgule est utilisée ici comme séparateur décimal français.</x:v>
      </x:c>
      <x:c r="L313" s="508" t="str">
        <x:v>Équation : y = −0,0738x² + 0,0906x + 1,4239. R² = 0,9989. Les nombres de l’original sont conservés ; la virgule est utilisée ici comme séparateur décimal français.</x:v>
      </x:c>
      <x:c r="M313" s="508" t="str">
        <x:v>Équation : y = −0,0738x² + 0,0906x + 1,4239. R² = 0,9989. Les nombres de l’original sont conservés ; la virgule est utilisée ici comme séparateur décimal français.</x:v>
      </x:c>
      <x:c r="N313" s="508" t="str">
        <x:v>Équation : y = −0,0738x² + 0,0906x + 1,4239. R² = 0,9989. Les nombres de l’original sont conservés ; la virgule est utilisée ici comme séparateur décimal français.</x:v>
      </x:c>
    </x:row>
    <x:row r="314" ht="18" customHeight="1">
      <x:c r="A314" s="498"/>
      <x:c r="B314" s="498"/>
      <x:c r="C314" s="498"/>
      <x:c r="D314" s="498"/>
      <x:c r="E314" s="498"/>
      <x:c r="F314" s="498"/>
      <x:c r="G314" s="498"/>
      <x:c r="H314" s="498"/>
      <x:c r="I314" s="508" t="str">
        <x:v>Équation : y = −0,0738x² + 0,0906x + 1,4239. R² = 0,9989. Les nombres de l’original sont conservés ; la virgule est utilisée ici comme séparateur décimal français.</x:v>
      </x:c>
      <x:c r="J314" s="508" t="str">
        <x:v>Équation : y = −0,0738x² + 0,0906x + 1,4239. R² = 0,9989. Les nombres de l’original sont conservés ; la virgule est utilisée ici comme séparateur décimal français.</x:v>
      </x:c>
      <x:c r="K314" s="508" t="str">
        <x:v>Équation : y = −0,0738x² + 0,0906x + 1,4239. R² = 0,9989. Les nombres de l’original sont conservés ; la virgule est utilisée ici comme séparateur décimal français.</x:v>
      </x:c>
      <x:c r="L314" s="508" t="str">
        <x:v>Équation : y = −0,0738x² + 0,0906x + 1,4239. R² = 0,9989. Les nombres de l’original sont conservés ; la virgule est utilisée ici comme séparateur décimal français.</x:v>
      </x:c>
      <x:c r="M314" s="508" t="str">
        <x:v>Équation : y = −0,0738x² + 0,0906x + 1,4239. R² = 0,9989. Les nombres de l’original sont conservés ; la virgule est utilisée ici comme séparateur décimal français.</x:v>
      </x:c>
      <x:c r="N314" s="508" t="str">
        <x:v>Équation : y = −0,0738x² + 0,0906x + 1,4239. R² = 0,9989. Les nombres de l’original sont conservés ; la virgule est utilisée ici comme séparateur décimal français.</x:v>
      </x:c>
    </x:row>
    <x:row r="315" ht="18" customHeight="1">
      <x:c r="A315" s="498"/>
      <x:c r="B315" s="498"/>
      <x:c r="C315" s="498"/>
      <x:c r="D315" s="498"/>
      <x:c r="E315" s="498"/>
      <x:c r="F315" s="498"/>
      <x:c r="G315" s="498"/>
      <x:c r="H315" s="498"/>
      <x:c r="I315" s="508" t="str">
        <x:v>Équation : y = −0,0738x² + 0,0906x + 1,4239. R² = 0,9989. Les nombres de l’original sont conservés ; la virgule est utilisée ici comme séparateur décimal français.</x:v>
      </x:c>
      <x:c r="J315" s="508" t="str">
        <x:v>Équation : y = −0,0738x² + 0,0906x + 1,4239. R² = 0,9989. Les nombres de l’original sont conservés ; la virgule est utilisée ici comme séparateur décimal français.</x:v>
      </x:c>
      <x:c r="K315" s="508" t="str">
        <x:v>Équation : y = −0,0738x² + 0,0906x + 1,4239. R² = 0,9989. Les nombres de l’original sont conservés ; la virgule est utilisée ici comme séparateur décimal français.</x:v>
      </x:c>
      <x:c r="L315" s="508" t="str">
        <x:v>Équation : y = −0,0738x² + 0,0906x + 1,4239. R² = 0,9989. Les nombres de l’original sont conservés ; la virgule est utilisée ici comme séparateur décimal français.</x:v>
      </x:c>
      <x:c r="M315" s="508" t="str">
        <x:v>Équation : y = −0,0738x² + 0,0906x + 1,4239. R² = 0,9989. Les nombres de l’original sont conservés ; la virgule est utilisée ici comme séparateur décimal français.</x:v>
      </x:c>
      <x:c r="N315" s="508" t="str">
        <x:v>Équation : y = −0,0738x² + 0,0906x + 1,4239. R² = 0,9989. Les nombres de l’original sont conservés ; la virgule est utilisée ici comme séparateur décimal français.</x:v>
      </x:c>
    </x:row>
    <x:row r="316" ht="18" customHeight="1">
      <x:c r="A316" s="498"/>
      <x:c r="B316" s="498"/>
      <x:c r="C316" s="498"/>
      <x:c r="D316" s="498"/>
      <x:c r="E316" s="498"/>
      <x:c r="F316" s="498"/>
      <x:c r="G316" s="498"/>
      <x:c r="H316" s="498"/>
      <x:c r="I316" s="498"/>
      <x:c r="J316" s="498"/>
      <x:c r="K316" s="498"/>
      <x:c r="L316" s="498"/>
      <x:c r="M316" s="498"/>
      <x:c r="N316" s="498"/>
    </x:row>
    <x:row r="317" ht="18" customHeight="1">
      <x:c r="A317" s="498"/>
      <x:c r="B317" s="498"/>
      <x:c r="C317" s="498"/>
      <x:c r="D317" s="498"/>
      <x:c r="E317" s="498"/>
      <x:c r="F317" s="498"/>
      <x:c r="G317" s="498"/>
      <x:c r="H317" s="498"/>
      <x:c r="I317" s="498"/>
      <x:c r="J317" s="498"/>
      <x:c r="K317" s="498"/>
      <x:c r="L317" s="498"/>
      <x:c r="M317" s="498"/>
      <x:c r="N317" s="498"/>
    </x:row>
    <x:row r="318" ht="18" customHeight="1">
      <x:c r="A318" s="498"/>
      <x:c r="B318" s="498"/>
      <x:c r="C318" s="498"/>
      <x:c r="D318" s="498"/>
      <x:c r="E318" s="498"/>
      <x:c r="F318" s="498"/>
      <x:c r="G318" s="498"/>
      <x:c r="H318" s="498"/>
      <x:c r="I318" s="498"/>
      <x:c r="J318" s="498"/>
      <x:c r="K318" s="498"/>
      <x:c r="L318" s="498"/>
      <x:c r="M318" s="498"/>
      <x:c r="N318" s="498"/>
    </x:row>
    <x:row r="319" ht="18" customHeight="1">
      <x:c r="A319" s="498"/>
      <x:c r="B319" s="525" t="str">
        <x:v>14 · Couvain et population adulte au fil des mois</x:v>
      </x:c>
      <x:c r="C319" s="525" t="str">
        <x:v>14 · Couvain et population adulte au fil des mois</x:v>
      </x:c>
      <x:c r="D319" s="525" t="str">
        <x:v>14 · Couvain et population adulte au fil des mois</x:v>
      </x:c>
      <x:c r="E319" s="525" t="str">
        <x:v>14 · Couvain et population adulte au fil des mois</x:v>
      </x:c>
      <x:c r="F319" s="525" t="str">
        <x:v>14 · Couvain et population adulte au fil des mois</x:v>
      </x:c>
      <x:c r="G319" s="525" t="str">
        <x:v>14 · Couvain et population adulte au fil des mois</x:v>
      </x:c>
      <x:c r="H319" s="525" t="str">
        <x:v>14 · Couvain et population adulte au fil des mois</x:v>
      </x:c>
      <x:c r="I319" s="525" t="str">
        <x:v>14 · Couvain et population adulte au fil des mois</x:v>
      </x:c>
      <x:c r="J319" s="525" t="str">
        <x:v>14 · Couvain et population adulte au fil des mois</x:v>
      </x:c>
      <x:c r="K319" s="525" t="str">
        <x:v>14 · Couvain et population adulte au fil des mois</x:v>
      </x:c>
      <x:c r="L319" s="525" t="str">
        <x:v>14 · Couvain et population adulte au fil des mois</x:v>
      </x:c>
      <x:c r="M319" s="525" t="str">
        <x:v>14 · Couvain et population adulte au fil des mois</x:v>
      </x:c>
      <x:c r="N319" s="525" t="str">
        <x:v>14 · Couvain et population adulte au fil des mois</x:v>
      </x:c>
    </x:row>
    <x:row r="320" ht="18" customHeight="1">
      <x:c r="A320" s="498"/>
      <x:c r="B320" s="525" t="str">
        <x:v>14 · Couvain et population adulte au fil des mois</x:v>
      </x:c>
      <x:c r="C320" s="525" t="str">
        <x:v>14 · Couvain et population adulte au fil des mois</x:v>
      </x:c>
      <x:c r="D320" s="525" t="str">
        <x:v>14 · Couvain et population adulte au fil des mois</x:v>
      </x:c>
      <x:c r="E320" s="525" t="str">
        <x:v>14 · Couvain et population adulte au fil des mois</x:v>
      </x:c>
      <x:c r="F320" s="525" t="str">
        <x:v>14 · Couvain et population adulte au fil des mois</x:v>
      </x:c>
      <x:c r="G320" s="525" t="str">
        <x:v>14 · Couvain et population adulte au fil des mois</x:v>
      </x:c>
      <x:c r="H320" s="525" t="str">
        <x:v>14 · Couvain et population adulte au fil des mois</x:v>
      </x:c>
      <x:c r="I320" s="525" t="str">
        <x:v>14 · Couvain et population adulte au fil des mois</x:v>
      </x:c>
      <x:c r="J320" s="525" t="str">
        <x:v>14 · Couvain et population adulte au fil des mois</x:v>
      </x:c>
      <x:c r="K320" s="525" t="str">
        <x:v>14 · Couvain et population adulte au fil des mois</x:v>
      </x:c>
      <x:c r="L320" s="525" t="str">
        <x:v>14 · Couvain et population adulte au fil des mois</x:v>
      </x:c>
      <x:c r="M320" s="525" t="str">
        <x:v>14 · Couvain et population adulte au fil des mois</x:v>
      </x:c>
      <x:c r="N320" s="525" t="str">
        <x:v>14 · Couvain et population adulte au fil des mois</x:v>
      </x:c>
    </x:row>
    <x:row r="321" ht="18" customHeight="1">
      <x:c r="A321" s="498"/>
      <x:c r="B321" s="520" t="str">
        <x:v>Données à étudier — image 16 ; Requier et collaborateurs (2017)</x:v>
      </x:c>
      <x:c r="C321" s="520" t="str">
        <x:v>Données à étudier — image 16 ; Requier et collaborateurs (2017)</x:v>
      </x:c>
      <x:c r="D321" s="520" t="str">
        <x:v>Données à étudier — image 16 ; Requier et collaborateurs (2017)</x:v>
      </x:c>
      <x:c r="E321" s="520" t="str">
        <x:v>Données à étudier — image 16 ; Requier et collaborateurs (2017)</x:v>
      </x:c>
      <x:c r="F321" s="520" t="str">
        <x:v>Données à étudier — image 16 ; Requier et collaborateurs (2017)</x:v>
      </x:c>
      <x:c r="G321" s="520" t="str">
        <x:v>Données à étudier — image 16 ; Requier et collaborateurs (2017)</x:v>
      </x:c>
      <x:c r="H321" s="520" t="str">
        <x:v>Données à étudier — image 16 ; Requier et collaborateurs (2017)</x:v>
      </x:c>
      <x:c r="I321" s="520" t="str">
        <x:v>Données à étudier — image 16 ; Requier et collaborateurs (2017)</x:v>
      </x:c>
      <x:c r="J321" s="520" t="str">
        <x:v>Données à étudier — image 16 ; Requier et collaborateurs (2017)</x:v>
      </x:c>
      <x:c r="K321" s="520" t="str">
        <x:v>Données à étudier — image 16 ; Requier et collaborateurs (2017)</x:v>
      </x:c>
      <x:c r="L321" s="520" t="str">
        <x:v>Données à étudier — image 16 ; Requier et collaborateurs (2017)</x:v>
      </x:c>
      <x:c r="M321" s="520" t="str">
        <x:v>Données à étudier — image 16 ; Requier et collaborateurs (2017)</x:v>
      </x:c>
      <x:c r="N321" s="520" t="str">
        <x:v>Données à étudier — image 16 ; Requier et collaborateurs (2017)</x:v>
      </x:c>
    </x:row>
    <x:row r="322" ht="18" customHeight="1">
      <x:c r="A322" s="498"/>
      <x:c r="B322" s="498"/>
      <x:c r="C322" s="498"/>
      <x:c r="D322" s="498"/>
      <x:c r="E322" s="498"/>
      <x:c r="F322" s="498"/>
      <x:c r="G322" s="498"/>
      <x:c r="H322" s="498"/>
      <x:c r="I322" s="498"/>
      <x:c r="J322" s="498"/>
      <x:c r="K322" s="498"/>
      <x:c r="L322" s="498"/>
      <x:c r="M322" s="498"/>
      <x:c r="N322" s="498"/>
    </x:row>
    <x:row r="323" ht="18" customHeight="1">
      <x:c r="A323" s="498"/>
      <x:c r="B323" s="498"/>
      <x:c r="C323" s="498"/>
      <x:c r="D323" s="498"/>
      <x:c r="E323" s="498"/>
      <x:c r="F323" s="498"/>
      <x:c r="G323" s="498"/>
      <x:c r="H323" s="498"/>
      <x:c r="I323" s="508" t="str">
        <x:v>(b) Axe vertical : surface de couvain d’ouvrières (cm²). (c) Axe vertical : population adulte (individus).</x:v>
      </x:c>
      <x:c r="J323" s="508" t="str">
        <x:v>(b) Axe vertical : surface de couvain d’ouvrières (cm²). (c) Axe vertical : population adulte (individus).</x:v>
      </x:c>
      <x:c r="K323" s="508" t="str">
        <x:v>(b) Axe vertical : surface de couvain d’ouvrières (cm²). (c) Axe vertical : population adulte (individus).</x:v>
      </x:c>
      <x:c r="L323" s="508" t="str">
        <x:v>(b) Axe vertical : surface de couvain d’ouvrières (cm²). (c) Axe vertical : population adulte (individus).</x:v>
      </x:c>
      <x:c r="M323" s="508" t="str">
        <x:v>(b) Axe vertical : surface de couvain d’ouvrières (cm²). (c) Axe vertical : population adulte (individus).</x:v>
      </x:c>
      <x:c r="N323" s="508" t="str">
        <x:v>(b) Axe vertical : surface de couvain d’ouvrières (cm²). (c) Axe vertical : population adulte (individus).</x:v>
      </x:c>
    </x:row>
    <x:row r="324" ht="18" customHeight="1">
      <x:c r="A324" s="498"/>
      <x:c r="B324" s="498"/>
      <x:c r="C324" s="498"/>
      <x:c r="D324" s="498"/>
      <x:c r="E324" s="498"/>
      <x:c r="F324" s="498"/>
      <x:c r="G324" s="498"/>
      <x:c r="H324" s="498"/>
      <x:c r="I324" s="508" t="str">
        <x:v>(b) Axe vertical : surface de couvain d’ouvrières (cm²). (c) Axe vertical : population adulte (individus).</x:v>
      </x:c>
      <x:c r="J324" s="508" t="str">
        <x:v>(b) Axe vertical : surface de couvain d’ouvrières (cm²). (c) Axe vertical : population adulte (individus).</x:v>
      </x:c>
      <x:c r="K324" s="508" t="str">
        <x:v>(b) Axe vertical : surface de couvain d’ouvrières (cm²). (c) Axe vertical : population adulte (individus).</x:v>
      </x:c>
      <x:c r="L324" s="508" t="str">
        <x:v>(b) Axe vertical : surface de couvain d’ouvrières (cm²). (c) Axe vertical : population adulte (individus).</x:v>
      </x:c>
      <x:c r="M324" s="508" t="str">
        <x:v>(b) Axe vertical : surface de couvain d’ouvrières (cm²). (c) Axe vertical : population adulte (individus).</x:v>
      </x:c>
      <x:c r="N324" s="508" t="str">
        <x:v>(b) Axe vertical : surface de couvain d’ouvrières (cm²). (c) Axe vertical : population adulte (individus).</x:v>
      </x:c>
    </x:row>
    <x:row r="325" ht="18" customHeight="1">
      <x:c r="A325" s="498"/>
      <x:c r="B325" s="498"/>
      <x:c r="C325" s="498"/>
      <x:c r="D325" s="498"/>
      <x:c r="E325" s="498"/>
      <x:c r="F325" s="498"/>
      <x:c r="G325" s="498"/>
      <x:c r="H325" s="498"/>
      <x:c r="I325" s="508" t="str">
        <x:v>(b) Axe vertical : surface de couvain d’ouvrières (cm²). (c) Axe vertical : population adulte (individus).</x:v>
      </x:c>
      <x:c r="J325" s="508" t="str">
        <x:v>(b) Axe vertical : surface de couvain d’ouvrières (cm²). (c) Axe vertical : population adulte (individus).</x:v>
      </x:c>
      <x:c r="K325" s="508" t="str">
        <x:v>(b) Axe vertical : surface de couvain d’ouvrières (cm²). (c) Axe vertical : population adulte (individus).</x:v>
      </x:c>
      <x:c r="L325" s="508" t="str">
        <x:v>(b) Axe vertical : surface de couvain d’ouvrières (cm²). (c) Axe vertical : population adulte (individus).</x:v>
      </x:c>
      <x:c r="M325" s="508" t="str">
        <x:v>(b) Axe vertical : surface de couvain d’ouvrières (cm²). (c) Axe vertical : population adulte (individus).</x:v>
      </x:c>
      <x:c r="N325" s="508" t="str">
        <x:v>(b) Axe vertical : surface de couvain d’ouvrières (cm²). (c) Axe vertical : population adulte (individus).</x:v>
      </x:c>
    </x:row>
    <x:row r="326" ht="18" customHeight="1">
      <x:c r="A326" s="498"/>
      <x:c r="B326" s="498"/>
      <x:c r="C326" s="498"/>
      <x:c r="D326" s="498"/>
      <x:c r="E326" s="498"/>
      <x:c r="F326" s="498"/>
      <x:c r="G326" s="498"/>
      <x:c r="H326" s="498"/>
      <x:c r="I326" s="498"/>
      <x:c r="J326" s="498"/>
      <x:c r="K326" s="498"/>
      <x:c r="L326" s="498"/>
      <x:c r="M326" s="498"/>
      <x:c r="N326" s="498"/>
    </x:row>
    <x:row r="327" ht="18" customHeight="1">
      <x:c r="A327" s="498"/>
      <x:c r="B327" s="498"/>
      <x:c r="C327" s="498"/>
      <x:c r="D327" s="498"/>
      <x:c r="E327" s="498"/>
      <x:c r="F327" s="498"/>
      <x:c r="G327" s="498"/>
      <x:c r="H327" s="498"/>
      <x:c r="I327" s="508" t="str">
        <x:v>Axes horizontaux : avril, mai, juin, juillet, août, septembre. Les lettres (b) et (c), graduations, zones encadrées, flèches, courbes et barres d’incertitude appartiennent à la figure originale et sont conservées.</x:v>
      </x:c>
      <x:c r="J327" s="508" t="str">
        <x:v>Axes horizontaux : avril, mai, juin, juillet, août, septembre. Les lettres (b) et (c), graduations, zones encadrées, flèches, courbes et barres d’incertitude appartiennent à la figure originale et sont conservées.</x:v>
      </x:c>
      <x:c r="K327" s="508" t="str">
        <x:v>Axes horizontaux : avril, mai, juin, juillet, août, septembre. Les lettres (b) et (c), graduations, zones encadrées, flèches, courbes et barres d’incertitude appartiennent à la figure originale et sont conservées.</x:v>
      </x:c>
      <x:c r="L327" s="508" t="str">
        <x:v>Axes horizontaux : avril, mai, juin, juillet, août, septembre. Les lettres (b) et (c), graduations, zones encadrées, flèches, courbes et barres d’incertitude appartiennent à la figure originale et sont conservées.</x:v>
      </x:c>
      <x:c r="M327" s="508" t="str">
        <x:v>Axes horizontaux : avril, mai, juin, juillet, août, septembre. Les lettres (b) et (c), graduations, zones encadrées, flèches, courbes et barres d’incertitude appartiennent à la figure originale et sont conservées.</x:v>
      </x:c>
      <x:c r="N327" s="508" t="str">
        <x:v>Axes horizontaux : avril, mai, juin, juillet, août, septembre. Les lettres (b) et (c), graduations, zones encadrées, flèches, courbes et barres d’incertitude appartiennent à la figure originale et sont conservées.</x:v>
      </x:c>
    </x:row>
    <x:row r="328" ht="18" customHeight="1">
      <x:c r="A328" s="498"/>
      <x:c r="B328" s="498"/>
      <x:c r="C328" s="498"/>
      <x:c r="D328" s="498"/>
      <x:c r="E328" s="498"/>
      <x:c r="F328" s="498"/>
      <x:c r="G328" s="498"/>
      <x:c r="H328" s="498"/>
      <x:c r="I328" s="508" t="str">
        <x:v>Axes horizontaux : avril, mai, juin, juillet, août, septembre. Les lettres (b) et (c), graduations, zones encadrées, flèches, courbes et barres d’incertitude appartiennent à la figure originale et sont conservées.</x:v>
      </x:c>
      <x:c r="J328" s="508" t="str">
        <x:v>Axes horizontaux : avril, mai, juin, juillet, août, septembre. Les lettres (b) et (c), graduations, zones encadrées, flèches, courbes et barres d’incertitude appartiennent à la figure originale et sont conservées.</x:v>
      </x:c>
      <x:c r="K328" s="508" t="str">
        <x:v>Axes horizontaux : avril, mai, juin, juillet, août, septembre. Les lettres (b) et (c), graduations, zones encadrées, flèches, courbes et barres d’incertitude appartiennent à la figure originale et sont conservées.</x:v>
      </x:c>
      <x:c r="L328" s="508" t="str">
        <x:v>Axes horizontaux : avril, mai, juin, juillet, août, septembre. Les lettres (b) et (c), graduations, zones encadrées, flèches, courbes et barres d’incertitude appartiennent à la figure originale et sont conservées.</x:v>
      </x:c>
      <x:c r="M328" s="508" t="str">
        <x:v>Axes horizontaux : avril, mai, juin, juillet, août, septembre. Les lettres (b) et (c), graduations, zones encadrées, flèches, courbes et barres d’incertitude appartiennent à la figure originale et sont conservées.</x:v>
      </x:c>
      <x:c r="N328" s="508" t="str">
        <x:v>Axes horizontaux : avril, mai, juin, juillet, août, septembre. Les lettres (b) et (c), graduations, zones encadrées, flèches, courbes et barres d’incertitude appartiennent à la figure originale et sont conservées.</x:v>
      </x:c>
    </x:row>
    <x:row r="329" ht="18" customHeight="1">
      <x:c r="A329" s="498"/>
      <x:c r="B329" s="498"/>
      <x:c r="C329" s="498"/>
      <x:c r="D329" s="498"/>
      <x:c r="E329" s="498"/>
      <x:c r="F329" s="498"/>
      <x:c r="G329" s="498"/>
      <x:c r="H329" s="498"/>
      <x:c r="I329" s="508" t="str">
        <x:v>Axes horizontaux : avril, mai, juin, juillet, août, septembre. Les lettres (b) et (c), graduations, zones encadrées, flèches, courbes et barres d’incertitude appartiennent à la figure originale et sont conservées.</x:v>
      </x:c>
      <x:c r="J329" s="508" t="str">
        <x:v>Axes horizontaux : avril, mai, juin, juillet, août, septembre. Les lettres (b) et (c), graduations, zones encadrées, flèches, courbes et barres d’incertitude appartiennent à la figure originale et sont conservées.</x:v>
      </x:c>
      <x:c r="K329" s="508" t="str">
        <x:v>Axes horizontaux : avril, mai, juin, juillet, août, septembre. Les lettres (b) et (c), graduations, zones encadrées, flèches, courbes et barres d’incertitude appartiennent à la figure originale et sont conservées.</x:v>
      </x:c>
      <x:c r="L329" s="508" t="str">
        <x:v>Axes horizontaux : avril, mai, juin, juillet, août, septembre. Les lettres (b) et (c), graduations, zones encadrées, flèches, courbes et barres d’incertitude appartiennent à la figure originale et sont conservées.</x:v>
      </x:c>
      <x:c r="M329" s="508" t="str">
        <x:v>Axes horizontaux : avril, mai, juin, juillet, août, septembre. Les lettres (b) et (c), graduations, zones encadrées, flèches, courbes et barres d’incertitude appartiennent à la figure originale et sont conservées.</x:v>
      </x:c>
      <x:c r="N329" s="508" t="str">
        <x:v>Axes horizontaux : avril, mai, juin, juillet, août, septembre. Les lettres (b) et (c), graduations, zones encadrées, flèches, courbes et barres d’incertitude appartiennent à la figure originale et sont conservées.</x:v>
      </x:c>
    </x:row>
    <x:row r="330" ht="18" customHeight="1">
      <x:c r="A330" s="498"/>
      <x:c r="B330" s="498"/>
      <x:c r="C330" s="498"/>
      <x:c r="D330" s="498"/>
      <x:c r="E330" s="498"/>
      <x:c r="F330" s="498"/>
      <x:c r="G330" s="498"/>
      <x:c r="H330" s="498"/>
      <x:c r="I330" s="508" t="str">
        <x:v>Axes horizontaux : avril, mai, juin, juillet, août, septembre. Les lettres (b) et (c), graduations, zones encadrées, flèches, courbes et barres d’incertitude appartiennent à la figure originale et sont conservées.</x:v>
      </x:c>
      <x:c r="J330" s="508" t="str">
        <x:v>Axes horizontaux : avril, mai, juin, juillet, août, septembre. Les lettres (b) et (c), graduations, zones encadrées, flèches, courbes et barres d’incertitude appartiennent à la figure originale et sont conservées.</x:v>
      </x:c>
      <x:c r="K330" s="508" t="str">
        <x:v>Axes horizontaux : avril, mai, juin, juillet, août, septembre. Les lettres (b) et (c), graduations, zones encadrées, flèches, courbes et barres d’incertitude appartiennent à la figure originale et sont conservées.</x:v>
      </x:c>
      <x:c r="L330" s="508" t="str">
        <x:v>Axes horizontaux : avril, mai, juin, juillet, août, septembre. Les lettres (b) et (c), graduations, zones encadrées, flèches, courbes et barres d’incertitude appartiennent à la figure originale et sont conservées.</x:v>
      </x:c>
      <x:c r="M330" s="508" t="str">
        <x:v>Axes horizontaux : avril, mai, juin, juillet, août, septembre. Les lettres (b) et (c), graduations, zones encadrées, flèches, courbes et barres d’incertitude appartiennent à la figure originale et sont conservées.</x:v>
      </x:c>
      <x:c r="N330" s="508" t="str">
        <x:v>Axes horizontaux : avril, mai, juin, juillet, août, septembre. Les lettres (b) et (c), graduations, zones encadrées, flèches, courbes et barres d’incertitude appartiennent à la figure originale et sont conservées.</x:v>
      </x:c>
    </x:row>
    <x:row r="331" ht="18" customHeight="1">
      <x:c r="A331" s="498"/>
      <x:c r="B331" s="498"/>
      <x:c r="C331" s="498"/>
      <x:c r="D331" s="498"/>
      <x:c r="E331" s="498"/>
      <x:c r="F331" s="498"/>
      <x:c r="G331" s="498"/>
      <x:c r="H331" s="498"/>
      <x:c r="I331" s="498"/>
      <x:c r="J331" s="498"/>
      <x:c r="K331" s="498"/>
      <x:c r="L331" s="498"/>
      <x:c r="M331" s="498"/>
      <x:c r="N331" s="498"/>
    </x:row>
    <x:row r="332" ht="18" customHeight="1">
      <x:c r="A332" s="498"/>
      <x:c r="B332" s="498"/>
      <x:c r="C332" s="498"/>
      <x:c r="D332" s="498"/>
      <x:c r="E332" s="498"/>
      <x:c r="F332" s="498"/>
      <x:c r="G332" s="498"/>
      <x:c r="H332" s="498"/>
      <x:c r="I332" s="498"/>
      <x:c r="J332" s="498"/>
      <x:c r="K332" s="498"/>
      <x:c r="L332" s="498"/>
      <x:c r="M332" s="498"/>
      <x:c r="N332" s="498"/>
    </x:row>
    <x:row r="333" ht="18" customHeight="1">
      <x:c r="A333" s="498"/>
      <x:c r="B333" s="498"/>
      <x:c r="C333" s="498"/>
      <x:c r="D333" s="498"/>
      <x:c r="E333" s="498"/>
      <x:c r="F333" s="498"/>
      <x:c r="G333" s="498"/>
      <x:c r="H333" s="498"/>
      <x:c r="I333" s="498"/>
      <x:c r="J333" s="498"/>
      <x:c r="K333" s="498"/>
      <x:c r="L333" s="498"/>
      <x:c r="M333" s="498"/>
      <x:c r="N333" s="498"/>
    </x:row>
    <x:row r="334" ht="18" customHeight="1">
      <x:c r="A334" s="498"/>
      <x:c r="B334" s="498"/>
      <x:c r="C334" s="498"/>
      <x:c r="D334" s="498"/>
      <x:c r="E334" s="498"/>
      <x:c r="F334" s="498"/>
      <x:c r="G334" s="498"/>
      <x:c r="H334" s="498"/>
      <x:c r="I334" s="498"/>
      <x:c r="J334" s="498"/>
      <x:c r="K334" s="498"/>
      <x:c r="L334" s="498"/>
      <x:c r="M334" s="498"/>
      <x:c r="N334" s="498"/>
    </x:row>
    <x:row r="335" ht="18" customHeight="1">
      <x:c r="A335" s="498"/>
      <x:c r="B335" s="498"/>
      <x:c r="C335" s="498"/>
      <x:c r="D335" s="498"/>
      <x:c r="E335" s="498"/>
      <x:c r="F335" s="498"/>
      <x:c r="G335" s="498"/>
      <x:c r="H335" s="498"/>
      <x:c r="I335" s="498"/>
      <x:c r="J335" s="498"/>
      <x:c r="K335" s="498"/>
      <x:c r="L335" s="498"/>
      <x:c r="M335" s="498"/>
      <x:c r="N335" s="498"/>
    </x:row>
    <x:row r="336" ht="18" customHeight="1">
      <x:c r="A336" s="498"/>
      <x:c r="B336" s="498"/>
      <x:c r="C336" s="498"/>
      <x:c r="D336" s="498"/>
      <x:c r="E336" s="498"/>
      <x:c r="F336" s="498"/>
      <x:c r="G336" s="498"/>
      <x:c r="H336" s="498"/>
      <x:c r="I336" s="498"/>
      <x:c r="J336" s="498"/>
      <x:c r="K336" s="498"/>
      <x:c r="L336" s="498"/>
      <x:c r="M336" s="498"/>
      <x:c r="N336" s="498"/>
    </x:row>
    <x:row r="337" ht="18" customHeight="1">
      <x:c r="A337" s="498"/>
      <x:c r="B337" s="498"/>
      <x:c r="C337" s="498"/>
      <x:c r="D337" s="498"/>
      <x:c r="E337" s="498"/>
      <x:c r="F337" s="498"/>
      <x:c r="G337" s="498"/>
      <x:c r="H337" s="498"/>
      <x:c r="I337" s="498"/>
      <x:c r="J337" s="498"/>
      <x:c r="K337" s="498"/>
      <x:c r="L337" s="498"/>
      <x:c r="M337" s="498"/>
      <x:c r="N337" s="498"/>
    </x:row>
    <x:row r="338" ht="18" customHeight="1">
      <x:c r="A338" s="498"/>
      <x:c r="B338" s="498"/>
      <x:c r="C338" s="498"/>
      <x:c r="D338" s="498"/>
      <x:c r="E338" s="498"/>
      <x:c r="F338" s="498"/>
      <x:c r="G338" s="498"/>
      <x:c r="H338" s="498"/>
      <x:c r="I338" s="498"/>
      <x:c r="J338" s="498"/>
      <x:c r="K338" s="498"/>
      <x:c r="L338" s="498"/>
      <x:c r="M338" s="498"/>
      <x:c r="N338" s="498"/>
    </x:row>
    <x:row r="339" ht="18" customHeight="1">
      <x:c r="A339" s="498"/>
      <x:c r="B339" s="498"/>
      <x:c r="C339" s="498"/>
      <x:c r="D339" s="498"/>
      <x:c r="E339" s="498"/>
      <x:c r="F339" s="498"/>
      <x:c r="G339" s="498"/>
      <x:c r="H339" s="498"/>
      <x:c r="I339" s="498"/>
      <x:c r="J339" s="498"/>
      <x:c r="K339" s="498"/>
      <x:c r="L339" s="498"/>
      <x:c r="M339" s="498"/>
      <x:c r="N339" s="498"/>
    </x:row>
    <x:row r="340" ht="18" customHeight="1">
      <x:c r="A340" s="498"/>
      <x:c r="B340" s="498"/>
      <x:c r="C340" s="498"/>
      <x:c r="D340" s="498"/>
      <x:c r="E340" s="498"/>
      <x:c r="F340" s="498"/>
      <x:c r="G340" s="498"/>
      <x:c r="H340" s="498"/>
      <x:c r="I340" s="498"/>
      <x:c r="J340" s="498"/>
      <x:c r="K340" s="498"/>
      <x:c r="L340" s="498"/>
      <x:c r="M340" s="498"/>
      <x:c r="N340" s="498"/>
    </x:row>
    <x:row r="341" ht="18" customHeight="1">
      <x:c r="A341" s="498"/>
      <x:c r="B341" s="498"/>
      <x:c r="C341" s="498"/>
      <x:c r="D341" s="498"/>
      <x:c r="E341" s="498"/>
      <x:c r="F341" s="498"/>
      <x:c r="G341" s="498"/>
      <x:c r="H341" s="498"/>
      <x:c r="I341" s="498"/>
      <x:c r="J341" s="498"/>
      <x:c r="K341" s="498"/>
      <x:c r="L341" s="498"/>
      <x:c r="M341" s="498"/>
      <x:c r="N341" s="498"/>
    </x:row>
    <x:row r="342" ht="18" customHeight="1">
      <x:c r="A342" s="498"/>
      <x:c r="B342" s="498"/>
      <x:c r="C342" s="498"/>
      <x:c r="D342" s="498"/>
      <x:c r="E342" s="498"/>
      <x:c r="F342" s="498"/>
      <x:c r="G342" s="498"/>
      <x:c r="H342" s="498"/>
      <x:c r="I342" s="498"/>
      <x:c r="J342" s="498"/>
      <x:c r="K342" s="498"/>
      <x:c r="L342" s="498"/>
      <x:c r="M342" s="498"/>
      <x:c r="N342" s="498"/>
    </x:row>
    <x:row r="343" ht="18" customHeight="1">
      <x:c r="A343" s="498"/>
      <x:c r="B343" s="498"/>
      <x:c r="C343" s="498"/>
      <x:c r="D343" s="498"/>
      <x:c r="E343" s="498"/>
      <x:c r="F343" s="498"/>
      <x:c r="G343" s="498"/>
      <x:c r="H343" s="498"/>
      <x:c r="I343" s="498"/>
      <x:c r="J343" s="498"/>
      <x:c r="K343" s="498"/>
      <x:c r="L343" s="498"/>
      <x:c r="M343" s="498"/>
      <x:c r="N343" s="498"/>
    </x:row>
    <x:row r="344" ht="18" customHeight="1">
      <x:c r="A344" s="498"/>
      <x:c r="B344" s="498"/>
      <x:c r="C344" s="498"/>
      <x:c r="D344" s="498"/>
      <x:c r="E344" s="498"/>
      <x:c r="F344" s="498"/>
      <x:c r="G344" s="498"/>
      <x:c r="H344" s="498"/>
      <x:c r="I344" s="498"/>
      <x:c r="J344" s="498"/>
      <x:c r="K344" s="498"/>
      <x:c r="L344" s="498"/>
      <x:c r="M344" s="498"/>
      <x:c r="N344" s="498"/>
    </x:row>
    <x:row r="345" ht="18" customHeight="1">
      <x:c r="A345" s="498"/>
      <x:c r="B345" s="498"/>
      <x:c r="C345" s="498"/>
      <x:c r="D345" s="498"/>
      <x:c r="E345" s="498"/>
      <x:c r="F345" s="498"/>
      <x:c r="G345" s="498"/>
      <x:c r="H345" s="498"/>
      <x:c r="I345" s="498"/>
      <x:c r="J345" s="498"/>
      <x:c r="K345" s="498"/>
      <x:c r="L345" s="498"/>
      <x:c r="M345" s="498"/>
      <x:c r="N345" s="498"/>
    </x:row>
    <x:row r="346" ht="18" customHeight="1">
      <x:c r="A346" s="498"/>
      <x:c r="B346" s="498"/>
      <x:c r="C346" s="498"/>
      <x:c r="D346" s="498"/>
      <x:c r="E346" s="498"/>
      <x:c r="F346" s="498"/>
      <x:c r="G346" s="498"/>
      <x:c r="H346" s="498"/>
      <x:c r="I346" s="498"/>
      <x:c r="J346" s="498"/>
      <x:c r="K346" s="498"/>
      <x:c r="L346" s="498"/>
      <x:c r="M346" s="498"/>
      <x:c r="N346" s="498"/>
    </x:row>
    <x:row r="347" ht="18" customHeight="1">
      <x:c r="A347" s="498"/>
      <x:c r="B347" s="498"/>
      <x:c r="C347" s="498"/>
      <x:c r="D347" s="498"/>
      <x:c r="E347" s="498"/>
      <x:c r="F347" s="498"/>
      <x:c r="G347" s="498"/>
      <x:c r="H347" s="498"/>
      <x:c r="I347" s="498"/>
      <x:c r="J347" s="498"/>
      <x:c r="K347" s="498"/>
      <x:c r="L347" s="498"/>
      <x:c r="M347" s="498"/>
      <x:c r="N347" s="498"/>
    </x:row>
    <x:row r="348" ht="18" customHeight="1">
      <x:c r="A348" s="498"/>
      <x:c r="B348" s="498"/>
      <x:c r="C348" s="498"/>
      <x:c r="D348" s="498"/>
      <x:c r="E348" s="498"/>
      <x:c r="F348" s="498"/>
      <x:c r="G348" s="498"/>
      <x:c r="H348" s="498"/>
      <x:c r="I348" s="498"/>
      <x:c r="J348" s="498"/>
      <x:c r="K348" s="498"/>
      <x:c r="L348" s="498"/>
      <x:c r="M348" s="498"/>
      <x:c r="N348" s="498"/>
    </x:row>
    <x:row r="349" ht="18" customHeight="1">
      <x:c r="A349" s="498"/>
      <x:c r="B349" s="498"/>
      <x:c r="C349" s="498"/>
      <x:c r="D349" s="498"/>
      <x:c r="E349" s="498"/>
      <x:c r="F349" s="498"/>
      <x:c r="G349" s="498"/>
      <x:c r="H349" s="498"/>
      <x:c r="I349" s="498"/>
      <x:c r="J349" s="498"/>
      <x:c r="K349" s="498"/>
      <x:c r="L349" s="498"/>
      <x:c r="M349" s="498"/>
      <x:c r="N349" s="498"/>
    </x:row>
    <x:row r="350" ht="18" customHeight="1">
      <x:c r="A350" s="498"/>
      <x:c r="B350" s="498"/>
      <x:c r="C350" s="498"/>
      <x:c r="D350" s="498"/>
      <x:c r="E350" s="498"/>
      <x:c r="F350" s="498"/>
      <x:c r="G350" s="498"/>
      <x:c r="H350" s="498"/>
      <x:c r="I350" s="498"/>
      <x:c r="J350" s="498"/>
      <x:c r="K350" s="498"/>
      <x:c r="L350" s="498"/>
      <x:c r="M350" s="498"/>
      <x:c r="N350" s="498"/>
    </x:row>
    <x:row r="351" ht="18" customHeight="1">
      <x:c r="A351" s="498"/>
      <x:c r="B351" s="498"/>
      <x:c r="C351" s="498"/>
      <x:c r="D351" s="498"/>
      <x:c r="E351" s="498"/>
      <x:c r="F351" s="498"/>
      <x:c r="G351" s="498"/>
      <x:c r="H351" s="498"/>
      <x:c r="I351" s="498"/>
      <x:c r="J351" s="498"/>
      <x:c r="K351" s="498"/>
      <x:c r="L351" s="498"/>
      <x:c r="M351" s="498"/>
      <x:c r="N351" s="498"/>
    </x:row>
    <x:row r="352" ht="18" customHeight="1">
      <x:c r="A352" s="498"/>
      <x:c r="B352" s="498"/>
      <x:c r="C352" s="498"/>
      <x:c r="D352" s="498"/>
      <x:c r="E352" s="498"/>
      <x:c r="F352" s="498"/>
      <x:c r="G352" s="498"/>
      <x:c r="H352" s="498"/>
      <x:c r="I352" s="498"/>
      <x:c r="J352" s="498"/>
      <x:c r="K352" s="498"/>
      <x:c r="L352" s="498"/>
      <x:c r="M352" s="498"/>
      <x:c r="N352" s="498"/>
    </x:row>
    <x:row r="353" ht="18" customHeight="1">
      <x:c r="A353" s="498"/>
      <x:c r="B353" s="498"/>
      <x:c r="C353" s="498"/>
      <x:c r="D353" s="498"/>
      <x:c r="E353" s="498"/>
      <x:c r="F353" s="498"/>
      <x:c r="G353" s="498"/>
      <x:c r="H353" s="498"/>
      <x:c r="I353" s="498"/>
      <x:c r="J353" s="498"/>
      <x:c r="K353" s="498"/>
      <x:c r="L353" s="498"/>
      <x:c r="M353" s="498"/>
      <x:c r="N353" s="498"/>
    </x:row>
    <x:row r="354" ht="18" customHeight="1">
      <x:c r="A354" s="498"/>
      <x:c r="B354" s="498"/>
      <x:c r="C354" s="498"/>
      <x:c r="D354" s="498"/>
      <x:c r="E354" s="498"/>
      <x:c r="F354" s="498"/>
      <x:c r="G354" s="498"/>
      <x:c r="H354" s="498"/>
      <x:c r="I354" s="498"/>
      <x:c r="J354" s="498"/>
      <x:c r="K354" s="498"/>
      <x:c r="L354" s="498"/>
      <x:c r="M354" s="498"/>
      <x:c r="N354" s="498"/>
    </x:row>
    <x:row r="355" ht="18" customHeight="1">
      <x:c r="A355" s="498"/>
      <x:c r="B355" s="498"/>
      <x:c r="C355" s="498"/>
      <x:c r="D355" s="498"/>
      <x:c r="E355" s="498"/>
      <x:c r="F355" s="498"/>
      <x:c r="G355" s="498"/>
      <x:c r="H355" s="498"/>
      <x:c r="I355" s="498"/>
      <x:c r="J355" s="498"/>
      <x:c r="K355" s="498"/>
      <x:c r="L355" s="498"/>
      <x:c r="M355" s="498"/>
      <x:c r="N355" s="498"/>
    </x:row>
    <x:row r="356" ht="18" customHeight="1">
      <x:c r="A356" s="498"/>
      <x:c r="B356" s="498"/>
      <x:c r="C356" s="498"/>
      <x:c r="D356" s="498"/>
      <x:c r="E356" s="498"/>
      <x:c r="F356" s="498"/>
      <x:c r="G356" s="498"/>
      <x:c r="H356" s="498"/>
      <x:c r="I356" s="498"/>
      <x:c r="J356" s="498"/>
      <x:c r="K356" s="498"/>
      <x:c r="L356" s="498"/>
      <x:c r="M356" s="498"/>
      <x:c r="N356" s="498"/>
    </x:row>
    <x:row r="357" ht="18" customHeight="1">
      <x:c r="A357" s="498"/>
      <x:c r="B357" s="498"/>
      <x:c r="C357" s="498"/>
      <x:c r="D357" s="498"/>
      <x:c r="E357" s="498"/>
      <x:c r="F357" s="498"/>
      <x:c r="G357" s="498"/>
      <x:c r="H357" s="498"/>
      <x:c r="I357" s="498"/>
      <x:c r="J357" s="498"/>
      <x:c r="K357" s="498"/>
      <x:c r="L357" s="498"/>
      <x:c r="M357" s="498"/>
      <x:c r="N357" s="498"/>
    </x:row>
    <x:row r="358" ht="18" customHeight="1">
      <x:c r="A358" s="498"/>
      <x:c r="B358" s="498"/>
      <x:c r="C358" s="498"/>
      <x:c r="D358" s="498"/>
      <x:c r="E358" s="498"/>
      <x:c r="F358" s="498"/>
      <x:c r="G358" s="498"/>
      <x:c r="H358" s="498"/>
      <x:c r="I358" s="498"/>
      <x:c r="J358" s="498"/>
      <x:c r="K358" s="498"/>
      <x:c r="L358" s="498"/>
      <x:c r="M358" s="498"/>
      <x:c r="N358" s="498"/>
    </x:row>
    <x:row r="359" ht="18" customHeight="1">
      <x:c r="A359" s="498"/>
      <x:c r="B359" s="498"/>
      <x:c r="C359" s="498"/>
      <x:c r="D359" s="498"/>
      <x:c r="E359" s="498"/>
      <x:c r="F359" s="498"/>
      <x:c r="G359" s="498"/>
      <x:c r="H359" s="498"/>
      <x:c r="I359" s="498"/>
      <x:c r="J359" s="498"/>
      <x:c r="K359" s="498"/>
      <x:c r="L359" s="498"/>
      <x:c r="M359" s="498"/>
      <x:c r="N359" s="498"/>
    </x:row>
    <x:row r="360" ht="18" customHeight="1">
      <x:c r="A360" s="498"/>
      <x:c r="B360" s="498"/>
      <x:c r="C360" s="498"/>
      <x:c r="D360" s="498"/>
      <x:c r="E360" s="498"/>
      <x:c r="F360" s="498"/>
      <x:c r="G360" s="498"/>
      <x:c r="H360" s="498"/>
      <x:c r="I360" s="498"/>
      <x:c r="J360" s="498"/>
      <x:c r="K360" s="498"/>
      <x:c r="L360" s="498"/>
      <x:c r="M360" s="498"/>
      <x:c r="N360" s="498"/>
    </x:row>
    <x:row r="361" ht="18" customHeight="1">
      <x:c r="A361" s="498"/>
      <x:c r="B361" s="498"/>
      <x:c r="C361" s="498"/>
      <x:c r="D361" s="498"/>
      <x:c r="E361" s="498"/>
      <x:c r="F361" s="498"/>
      <x:c r="G361" s="498"/>
      <x:c r="H361" s="498"/>
      <x:c r="I361" s="498"/>
      <x:c r="J361" s="498"/>
      <x:c r="K361" s="498"/>
      <x:c r="L361" s="498"/>
      <x:c r="M361" s="498"/>
      <x:c r="N361" s="498"/>
    </x:row>
    <x:row r="362" ht="18" customHeight="1">
      <x:c r="A362" s="498"/>
      <x:c r="B362" s="498"/>
      <x:c r="C362" s="498"/>
      <x:c r="D362" s="498"/>
      <x:c r="E362" s="498"/>
      <x:c r="F362" s="498"/>
      <x:c r="G362" s="498"/>
      <x:c r="H362" s="498"/>
      <x:c r="I362" s="498"/>
      <x:c r="J362" s="498"/>
      <x:c r="K362" s="498"/>
      <x:c r="L362" s="498"/>
      <x:c r="M362" s="498"/>
      <x:c r="N362" s="498"/>
    </x:row>
    <x:row r="363" ht="18" customHeight="1">
      <x:c r="A363" s="498"/>
      <x:c r="B363" s="498"/>
      <x:c r="C363" s="498"/>
      <x:c r="D363" s="498"/>
      <x:c r="E363" s="498"/>
      <x:c r="F363" s="498"/>
      <x:c r="G363" s="498"/>
      <x:c r="H363" s="498"/>
      <x:c r="I363" s="498"/>
      <x:c r="J363" s="498"/>
      <x:c r="K363" s="498"/>
      <x:c r="L363" s="498"/>
      <x:c r="M363" s="498"/>
      <x:c r="N363" s="498"/>
    </x:row>
    <x:row r="364" ht="18" customHeight="1">
      <x:c r="A364" s="498"/>
      <x:c r="B364" s="498"/>
      <x:c r="C364" s="498"/>
      <x:c r="D364" s="498"/>
      <x:c r="E364" s="498"/>
      <x:c r="F364" s="498"/>
      <x:c r="G364" s="498"/>
      <x:c r="H364" s="498"/>
      <x:c r="I364" s="498"/>
      <x:c r="J364" s="498"/>
      <x:c r="K364" s="498"/>
      <x:c r="L364" s="498"/>
      <x:c r="M364" s="498"/>
      <x:c r="N364" s="498"/>
    </x:row>
    <x:row r="365" ht="18" customHeight="1">
      <x:c r="A365" s="498"/>
      <x:c r="B365" s="498"/>
      <x:c r="C365" s="498"/>
      <x:c r="D365" s="498"/>
      <x:c r="E365" s="498"/>
      <x:c r="F365" s="498"/>
      <x:c r="G365" s="498"/>
      <x:c r="H365" s="498"/>
      <x:c r="I365" s="498"/>
      <x:c r="J365" s="498"/>
      <x:c r="K365" s="498"/>
      <x:c r="L365" s="498"/>
      <x:c r="M365" s="498"/>
      <x:c r="N365" s="498"/>
    </x:row>
    <x:row r="366" ht="18" customHeight="1">
      <x:c r="A366" s="498"/>
      <x:c r="B366" s="498"/>
      <x:c r="C366" s="498"/>
      <x:c r="D366" s="498"/>
      <x:c r="E366" s="498"/>
      <x:c r="F366" s="498"/>
      <x:c r="G366" s="498"/>
      <x:c r="H366" s="498"/>
      <x:c r="I366" s="498"/>
      <x:c r="J366" s="498"/>
      <x:c r="K366" s="498"/>
      <x:c r="L366" s="498"/>
      <x:c r="M366" s="498"/>
      <x:c r="N366" s="498"/>
    </x:row>
    <x:row r="367" ht="18" customHeight="1">
      <x:c r="A367" s="498"/>
      <x:c r="B367" s="498"/>
      <x:c r="C367" s="498"/>
      <x:c r="D367" s="498"/>
      <x:c r="E367" s="498"/>
      <x:c r="F367" s="498"/>
      <x:c r="G367" s="498"/>
      <x:c r="H367" s="498"/>
      <x:c r="I367" s="498"/>
      <x:c r="J367" s="498"/>
      <x:c r="K367" s="498"/>
      <x:c r="L367" s="498"/>
      <x:c r="M367" s="498"/>
      <x:c r="N367" s="498"/>
    </x:row>
    <x:row r="368" ht="18" customHeight="1">
      <x:c r="A368" s="498"/>
      <x:c r="B368" s="498"/>
      <x:c r="C368" s="498"/>
      <x:c r="D368" s="498"/>
      <x:c r="E368" s="498"/>
      <x:c r="F368" s="498"/>
      <x:c r="G368" s="498"/>
      <x:c r="H368" s="498"/>
      <x:c r="I368" s="498"/>
      <x:c r="J368" s="498"/>
      <x:c r="K368" s="498"/>
      <x:c r="L368" s="498"/>
      <x:c r="M368" s="498"/>
      <x:c r="N368" s="498"/>
    </x:row>
    <x:row r="369" ht="18" customHeight="1">
      <x:c r="A369" s="498"/>
      <x:c r="B369" s="498"/>
      <x:c r="C369" s="498"/>
      <x:c r="D369" s="498"/>
      <x:c r="E369" s="498"/>
      <x:c r="F369" s="498"/>
      <x:c r="G369" s="498"/>
      <x:c r="H369" s="498"/>
      <x:c r="I369" s="498"/>
      <x:c r="J369" s="498"/>
      <x:c r="K369" s="498"/>
      <x:c r="L369" s="498"/>
      <x:c r="M369" s="498"/>
      <x:c r="N369" s="498"/>
    </x:row>
    <x:row r="370" ht="18" customHeight="1">
      <x:c r="A370" s="498"/>
      <x:c r="B370" s="498"/>
      <x:c r="C370" s="498"/>
      <x:c r="D370" s="498"/>
      <x:c r="E370" s="498"/>
      <x:c r="F370" s="498"/>
      <x:c r="G370" s="498"/>
      <x:c r="H370" s="498"/>
      <x:c r="I370" s="498"/>
      <x:c r="J370" s="498"/>
      <x:c r="K370" s="498"/>
      <x:c r="L370" s="498"/>
      <x:c r="M370" s="498"/>
      <x:c r="N370" s="498"/>
    </x:row>
    <x:row r="371" ht="18" customHeight="1">
      <x:c r="A371" s="498"/>
      <x:c r="B371" s="498"/>
      <x:c r="C371" s="498"/>
      <x:c r="D371" s="498"/>
      <x:c r="E371" s="498"/>
      <x:c r="F371" s="498"/>
      <x:c r="G371" s="498"/>
      <x:c r="H371" s="498"/>
      <x:c r="I371" s="498"/>
      <x:c r="J371" s="498"/>
      <x:c r="K371" s="498"/>
      <x:c r="L371" s="498"/>
      <x:c r="M371" s="498"/>
      <x:c r="N371" s="498"/>
    </x:row>
    <x:row r="372" ht="18" customHeight="1">
      <x:c r="A372" s="498"/>
      <x:c r="B372" s="498"/>
      <x:c r="C372" s="498"/>
      <x:c r="D372" s="498"/>
      <x:c r="E372" s="498"/>
      <x:c r="F372" s="498"/>
      <x:c r="G372" s="498"/>
      <x:c r="H372" s="498"/>
      <x:c r="I372" s="498"/>
      <x:c r="J372" s="498"/>
      <x:c r="K372" s="498"/>
      <x:c r="L372" s="498"/>
      <x:c r="M372" s="498"/>
      <x:c r="N372" s="498"/>
    </x:row>
    <x:row r="373" ht="18" customHeight="1">
      <x:c r="A373" s="498"/>
      <x:c r="B373" s="498"/>
      <x:c r="C373" s="498"/>
      <x:c r="D373" s="498"/>
      <x:c r="E373" s="498"/>
      <x:c r="F373" s="498"/>
      <x:c r="G373" s="498"/>
      <x:c r="H373" s="498"/>
      <x:c r="I373" s="498"/>
      <x:c r="J373" s="498"/>
      <x:c r="K373" s="498"/>
      <x:c r="L373" s="498"/>
      <x:c r="M373" s="498"/>
      <x:c r="N373" s="498"/>
    </x:row>
    <x:row r="374" ht="18" customHeight="1">
      <x:c r="A374" s="498"/>
      <x:c r="B374" s="498"/>
      <x:c r="C374" s="498"/>
      <x:c r="D374" s="498"/>
      <x:c r="E374" s="498"/>
      <x:c r="F374" s="498"/>
      <x:c r="G374" s="498"/>
      <x:c r="H374" s="498"/>
      <x:c r="I374" s="498"/>
      <x:c r="J374" s="498"/>
      <x:c r="K374" s="498"/>
      <x:c r="L374" s="498"/>
      <x:c r="M374" s="498"/>
      <x:c r="N374" s="498"/>
    </x:row>
    <x:row r="375" ht="18" customHeight="1">
      <x:c r="A375" s="498"/>
      <x:c r="B375" s="498"/>
      <x:c r="C375" s="498"/>
      <x:c r="D375" s="498"/>
      <x:c r="E375" s="498"/>
      <x:c r="F375" s="498"/>
      <x:c r="G375" s="498"/>
      <x:c r="H375" s="498"/>
      <x:c r="I375" s="498"/>
      <x:c r="J375" s="498"/>
      <x:c r="K375" s="498"/>
      <x:c r="L375" s="498"/>
      <x:c r="M375" s="498"/>
      <x:c r="N375" s="498"/>
    </x:row>
    <x:row r="376" ht="18" customHeight="1">
      <x:c r="A376" s="498"/>
      <x:c r="B376" s="498"/>
      <x:c r="C376" s="498"/>
      <x:c r="D376" s="498"/>
      <x:c r="E376" s="498"/>
      <x:c r="F376" s="498"/>
      <x:c r="G376" s="498"/>
      <x:c r="H376" s="498"/>
      <x:c r="I376" s="498"/>
      <x:c r="J376" s="498"/>
      <x:c r="K376" s="498"/>
      <x:c r="L376" s="498"/>
      <x:c r="M376" s="498"/>
      <x:c r="N376" s="498"/>
    </x:row>
    <x:row r="377" ht="18" customHeight="1">
      <x:c r="A377" s="498"/>
      <x:c r="B377" s="498"/>
      <x:c r="C377" s="498"/>
      <x:c r="D377" s="498"/>
      <x:c r="E377" s="498"/>
      <x:c r="F377" s="498"/>
      <x:c r="G377" s="498"/>
      <x:c r="H377" s="498"/>
      <x:c r="I377" s="498"/>
      <x:c r="J377" s="498"/>
      <x:c r="K377" s="498"/>
      <x:c r="L377" s="498"/>
      <x:c r="M377" s="498"/>
      <x:c r="N377" s="498"/>
    </x:row>
    <x:row r="378" ht="18" customHeight="1">
      <x:c r="A378" s="498"/>
      <x:c r="B378" s="498"/>
      <x:c r="C378" s="498"/>
      <x:c r="D378" s="498"/>
      <x:c r="E378" s="498"/>
      <x:c r="F378" s="498"/>
      <x:c r="G378" s="498"/>
      <x:c r="H378" s="498"/>
      <x:c r="I378" s="498"/>
      <x:c r="J378" s="498"/>
      <x:c r="K378" s="498"/>
      <x:c r="L378" s="498"/>
      <x:c r="M378" s="498"/>
      <x:c r="N378" s="498"/>
    </x:row>
    <x:row r="379" ht="18" customHeight="1">
      <x:c r="A379" s="498"/>
      <x:c r="B379" s="498"/>
      <x:c r="C379" s="498"/>
      <x:c r="D379" s="498"/>
      <x:c r="E379" s="498"/>
      <x:c r="F379" s="498"/>
      <x:c r="G379" s="498"/>
      <x:c r="H379" s="498"/>
      <x:c r="I379" s="498"/>
      <x:c r="J379" s="498"/>
      <x:c r="K379" s="498"/>
      <x:c r="L379" s="498"/>
      <x:c r="M379" s="498"/>
      <x:c r="N379" s="498"/>
    </x:row>
    <x:row r="380" ht="18" customHeight="1">
      <x:c r="A380" s="498"/>
      <x:c r="B380" s="498"/>
      <x:c r="C380" s="498"/>
      <x:c r="D380" s="498"/>
      <x:c r="E380" s="498"/>
      <x:c r="F380" s="498"/>
      <x:c r="G380" s="498"/>
      <x:c r="H380" s="498"/>
      <x:c r="I380" s="498"/>
      <x:c r="J380" s="498"/>
      <x:c r="K380" s="498"/>
      <x:c r="L380" s="498"/>
      <x:c r="M380" s="498"/>
      <x:c r="N380" s="498"/>
    </x:row>
    <x:row r="381" ht="18" customHeight="1">
      <x:c r="A381" s="498"/>
      <x:c r="B381" s="498"/>
      <x:c r="C381" s="498"/>
      <x:c r="D381" s="498"/>
      <x:c r="E381" s="498"/>
      <x:c r="F381" s="498"/>
      <x:c r="G381" s="498"/>
      <x:c r="H381" s="498"/>
      <x:c r="I381" s="498"/>
      <x:c r="J381" s="498"/>
      <x:c r="K381" s="498"/>
      <x:c r="L381" s="498"/>
      <x:c r="M381" s="498"/>
      <x:c r="N381" s="498"/>
    </x:row>
    <x:row r="382" ht="18" customHeight="1">
      <x:c r="A382" s="498"/>
      <x:c r="B382" s="498"/>
      <x:c r="C382" s="498"/>
      <x:c r="D382" s="498"/>
      <x:c r="E382" s="498"/>
      <x:c r="F382" s="498"/>
      <x:c r="G382" s="498"/>
      <x:c r="H382" s="498"/>
      <x:c r="I382" s="498"/>
      <x:c r="J382" s="498"/>
      <x:c r="K382" s="498"/>
      <x:c r="L382" s="498"/>
      <x:c r="M382" s="498"/>
      <x:c r="N382" s="498"/>
    </x:row>
    <x:row r="383" ht="18" customHeight="1">
      <x:c r="A383" s="498"/>
      <x:c r="B383" s="498"/>
      <x:c r="C383" s="498"/>
      <x:c r="D383" s="498"/>
      <x:c r="E383" s="498"/>
      <x:c r="F383" s="498"/>
      <x:c r="G383" s="498"/>
      <x:c r="H383" s="498"/>
      <x:c r="I383" s="498"/>
      <x:c r="J383" s="498"/>
      <x:c r="K383" s="498"/>
      <x:c r="L383" s="498"/>
      <x:c r="M383" s="498"/>
      <x:c r="N383" s="498"/>
    </x:row>
    <x:row r="384" ht="18" customHeight="1">
      <x:c r="A384" s="498"/>
      <x:c r="B384" s="498"/>
      <x:c r="C384" s="498"/>
      <x:c r="D384" s="498"/>
      <x:c r="E384" s="498"/>
      <x:c r="F384" s="498"/>
      <x:c r="G384" s="498"/>
      <x:c r="H384" s="498"/>
      <x:c r="I384" s="498"/>
      <x:c r="J384" s="498"/>
      <x:c r="K384" s="498"/>
      <x:c r="L384" s="498"/>
      <x:c r="M384" s="498"/>
      <x:c r="N384" s="498"/>
    </x:row>
    <x:row r="385" ht="18" customHeight="1">
      <x:c r="A385" s="498"/>
      <x:c r="B385" s="498"/>
      <x:c r="C385" s="498"/>
      <x:c r="D385" s="498"/>
      <x:c r="E385" s="498"/>
      <x:c r="F385" s="498"/>
      <x:c r="G385" s="498"/>
      <x:c r="H385" s="498"/>
      <x:c r="I385" s="498"/>
      <x:c r="J385" s="498"/>
      <x:c r="K385" s="498"/>
      <x:c r="L385" s="498"/>
      <x:c r="M385" s="498"/>
      <x:c r="N385" s="498"/>
    </x:row>
    <x:row r="386" ht="18" customHeight="1">
      <x:c r="A386" s="498"/>
      <x:c r="B386" s="498"/>
      <x:c r="C386" s="498"/>
      <x:c r="D386" s="498"/>
      <x:c r="E386" s="498"/>
      <x:c r="F386" s="498"/>
      <x:c r="G386" s="498"/>
      <x:c r="H386" s="498"/>
      <x:c r="I386" s="498"/>
      <x:c r="J386" s="498"/>
      <x:c r="K386" s="498"/>
      <x:c r="L386" s="498"/>
      <x:c r="M386" s="498"/>
      <x:c r="N386" s="498"/>
    </x:row>
    <x:row r="387" ht="18" customHeight="1">
      <x:c r="A387" s="498"/>
      <x:c r="B387" s="498"/>
      <x:c r="C387" s="498"/>
      <x:c r="D387" s="498"/>
      <x:c r="E387" s="498"/>
      <x:c r="F387" s="498"/>
      <x:c r="G387" s="498"/>
      <x:c r="H387" s="498"/>
      <x:c r="I387" s="498"/>
      <x:c r="J387" s="498"/>
      <x:c r="K387" s="498"/>
      <x:c r="L387" s="498"/>
      <x:c r="M387" s="498"/>
      <x:c r="N387" s="498"/>
    </x:row>
    <x:row r="388" ht="18" customHeight="1">
      <x:c r="A388" s="498"/>
      <x:c r="B388" s="498"/>
      <x:c r="C388" s="498"/>
      <x:c r="D388" s="498"/>
      <x:c r="E388" s="498"/>
      <x:c r="F388" s="498"/>
      <x:c r="G388" s="498"/>
      <x:c r="H388" s="498"/>
      <x:c r="I388" s="498"/>
      <x:c r="J388" s="498"/>
      <x:c r="K388" s="498"/>
      <x:c r="L388" s="498"/>
      <x:c r="M388" s="498"/>
      <x:c r="N388" s="498"/>
    </x:row>
    <x:row r="389" ht="18" customHeight="1">
      <x:c r="A389" s="498"/>
      <x:c r="B389" s="498"/>
      <x:c r="C389" s="498"/>
      <x:c r="D389" s="498"/>
      <x:c r="E389" s="498"/>
      <x:c r="F389" s="498"/>
      <x:c r="G389" s="498"/>
      <x:c r="H389" s="498"/>
      <x:c r="I389" s="498"/>
      <x:c r="J389" s="498"/>
      <x:c r="K389" s="498"/>
      <x:c r="L389" s="498"/>
      <x:c r="M389" s="498"/>
      <x:c r="N389" s="498"/>
    </x:row>
    <x:row r="390" ht="18" customHeight="1">
      <x:c r="A390" s="498"/>
      <x:c r="B390" s="498"/>
      <x:c r="C390" s="498"/>
      <x:c r="D390" s="498"/>
      <x:c r="E390" s="498"/>
      <x:c r="F390" s="498"/>
      <x:c r="G390" s="498"/>
      <x:c r="H390" s="498"/>
      <x:c r="I390" s="498"/>
      <x:c r="J390" s="498"/>
      <x:c r="K390" s="498"/>
      <x:c r="L390" s="498"/>
      <x:c r="M390" s="498"/>
      <x:c r="N390" s="498"/>
    </x:row>
    <x:row r="391" ht="18" customHeight="1">
      <x:c r="A391" s="498"/>
      <x:c r="B391" s="498"/>
      <x:c r="C391" s="498"/>
      <x:c r="D391" s="498"/>
      <x:c r="E391" s="498"/>
      <x:c r="F391" s="498"/>
      <x:c r="G391" s="498"/>
      <x:c r="H391" s="498"/>
      <x:c r="I391" s="498"/>
      <x:c r="J391" s="498"/>
      <x:c r="K391" s="498"/>
      <x:c r="L391" s="498"/>
      <x:c r="M391" s="498"/>
      <x:c r="N391" s="498"/>
    </x:row>
    <x:row r="392" ht="18" customHeight="1">
      <x:c r="A392" s="498"/>
      <x:c r="B392" s="498"/>
      <x:c r="C392" s="498"/>
      <x:c r="D392" s="498"/>
      <x:c r="E392" s="498"/>
      <x:c r="F392" s="498"/>
      <x:c r="G392" s="498"/>
      <x:c r="H392" s="498"/>
      <x:c r="I392" s="498"/>
      <x:c r="J392" s="498"/>
      <x:c r="K392" s="498"/>
      <x:c r="L392" s="498"/>
      <x:c r="M392" s="498"/>
      <x:c r="N392" s="498"/>
    </x:row>
    <x:row r="393" ht="18" customHeight="1">
      <x:c r="A393" s="498"/>
      <x:c r="B393" s="498"/>
      <x:c r="C393" s="498"/>
      <x:c r="D393" s="498"/>
      <x:c r="E393" s="498"/>
      <x:c r="F393" s="498"/>
      <x:c r="G393" s="498"/>
      <x:c r="H393" s="498"/>
      <x:c r="I393" s="498"/>
      <x:c r="J393" s="498"/>
      <x:c r="K393" s="498"/>
      <x:c r="L393" s="498"/>
      <x:c r="M393" s="498"/>
      <x:c r="N393" s="498"/>
    </x:row>
    <x:row r="394" ht="18" customHeight="1">
      <x:c r="A394" s="498"/>
      <x:c r="B394" s="498"/>
      <x:c r="C394" s="498"/>
      <x:c r="D394" s="498"/>
      <x:c r="E394" s="498"/>
      <x:c r="F394" s="498"/>
      <x:c r="G394" s="498"/>
      <x:c r="H394" s="498"/>
      <x:c r="I394" s="498"/>
      <x:c r="J394" s="498"/>
      <x:c r="K394" s="498"/>
      <x:c r="L394" s="498"/>
      <x:c r="M394" s="498"/>
      <x:c r="N394" s="498"/>
    </x:row>
    <x:row r="395" ht="18" customHeight="1">
      <x:c r="A395" s="498"/>
      <x:c r="B395" s="498"/>
      <x:c r="C395" s="498"/>
      <x:c r="D395" s="498"/>
      <x:c r="E395" s="498"/>
      <x:c r="F395" s="498"/>
      <x:c r="G395" s="498"/>
      <x:c r="H395" s="498"/>
      <x:c r="I395" s="498"/>
      <x:c r="J395" s="498"/>
      <x:c r="K395" s="498"/>
      <x:c r="L395" s="498"/>
      <x:c r="M395" s="498"/>
      <x:c r="N395" s="498"/>
    </x:row>
    <x:row r="396" ht="18" customHeight="1">
      <x:c r="A396" s="498"/>
      <x:c r="B396" s="498"/>
      <x:c r="C396" s="498"/>
      <x:c r="D396" s="498"/>
      <x:c r="E396" s="498"/>
      <x:c r="F396" s="498"/>
      <x:c r="G396" s="498"/>
      <x:c r="H396" s="498"/>
      <x:c r="I396" s="498"/>
      <x:c r="J396" s="498"/>
      <x:c r="K396" s="498"/>
      <x:c r="L396" s="498"/>
      <x:c r="M396" s="498"/>
      <x:c r="N396" s="498"/>
    </x:row>
    <x:row r="397" ht="18" customHeight="1">
      <x:c r="A397" s="498"/>
      <x:c r="B397" s="498"/>
      <x:c r="C397" s="498"/>
      <x:c r="D397" s="498"/>
      <x:c r="E397" s="498"/>
      <x:c r="F397" s="498"/>
      <x:c r="G397" s="498"/>
      <x:c r="H397" s="498"/>
      <x:c r="I397" s="498"/>
      <x:c r="J397" s="498"/>
      <x:c r="K397" s="498"/>
      <x:c r="L397" s="498"/>
      <x:c r="M397" s="498"/>
      <x:c r="N397" s="498"/>
    </x:row>
    <x:row r="398" ht="18" customHeight="1">
      <x:c r="A398" s="498"/>
      <x:c r="B398" s="498"/>
      <x:c r="C398" s="498"/>
      <x:c r="D398" s="498"/>
      <x:c r="E398" s="498"/>
      <x:c r="F398" s="498"/>
      <x:c r="G398" s="498"/>
      <x:c r="H398" s="498"/>
      <x:c r="I398" s="498"/>
      <x:c r="J398" s="498"/>
      <x:c r="K398" s="498"/>
      <x:c r="L398" s="498"/>
      <x:c r="M398" s="498"/>
      <x:c r="N398" s="498"/>
    </x:row>
    <x:row r="399" ht="18" customHeight="1">
      <x:c r="A399" s="498"/>
      <x:c r="B399" s="498"/>
      <x:c r="C399" s="498"/>
      <x:c r="D399" s="498"/>
      <x:c r="E399" s="498"/>
      <x:c r="F399" s="498"/>
      <x:c r="G399" s="498"/>
      <x:c r="H399" s="498"/>
      <x:c r="I399" s="498"/>
      <x:c r="J399" s="498"/>
      <x:c r="K399" s="498"/>
      <x:c r="L399" s="498"/>
      <x:c r="M399" s="498"/>
      <x:c r="N399" s="498"/>
    </x:row>
    <x:row r="400" ht="18" customHeight="1">
      <x:c r="A400" s="498"/>
      <x:c r="B400" s="498"/>
      <x:c r="C400" s="498"/>
      <x:c r="D400" s="498"/>
      <x:c r="E400" s="498"/>
      <x:c r="F400" s="498"/>
      <x:c r="G400" s="498"/>
      <x:c r="H400" s="498"/>
      <x:c r="I400" s="498"/>
      <x:c r="J400" s="498"/>
      <x:c r="K400" s="498"/>
      <x:c r="L400" s="498"/>
      <x:c r="M400" s="498"/>
      <x:c r="N400" s="498"/>
    </x:row>
    <x:row r="401" ht="18" customHeight="1">
      <x:c r="A401" s="498"/>
      <x:c r="B401" s="498"/>
      <x:c r="C401" s="498"/>
      <x:c r="D401" s="498"/>
      <x:c r="E401" s="498"/>
      <x:c r="F401" s="498"/>
      <x:c r="G401" s="498"/>
      <x:c r="H401" s="498"/>
      <x:c r="I401" s="498"/>
      <x:c r="J401" s="498"/>
      <x:c r="K401" s="498"/>
      <x:c r="L401" s="498"/>
      <x:c r="M401" s="498"/>
      <x:c r="N401" s="498"/>
    </x:row>
    <x:row r="402" ht="18" customHeight="1">
      <x:c r="A402" s="498"/>
      <x:c r="B402" s="498"/>
      <x:c r="C402" s="498"/>
      <x:c r="D402" s="498"/>
      <x:c r="E402" s="498"/>
      <x:c r="F402" s="498"/>
      <x:c r="G402" s="498"/>
      <x:c r="H402" s="498"/>
      <x:c r="I402" s="498"/>
      <x:c r="J402" s="498"/>
      <x:c r="K402" s="498"/>
      <x:c r="L402" s="498"/>
      <x:c r="M402" s="498"/>
      <x:c r="N402" s="498"/>
    </x:row>
    <x:row r="403" ht="18" customHeight="1">
      <x:c r="A403" s="498"/>
      <x:c r="B403" s="498"/>
      <x:c r="C403" s="498"/>
      <x:c r="D403" s="498"/>
      <x:c r="E403" s="498"/>
      <x:c r="F403" s="498"/>
      <x:c r="G403" s="498"/>
      <x:c r="H403" s="498"/>
      <x:c r="I403" s="498"/>
      <x:c r="J403" s="498"/>
      <x:c r="K403" s="498"/>
      <x:c r="L403" s="498"/>
      <x:c r="M403" s="498"/>
      <x:c r="N403" s="498"/>
    </x:row>
    <x:row r="404" ht="18" customHeight="1">
      <x:c r="A404" s="498"/>
      <x:c r="B404" s="498"/>
      <x:c r="C404" s="498"/>
      <x:c r="D404" s="498"/>
      <x:c r="E404" s="498"/>
      <x:c r="F404" s="498"/>
      <x:c r="G404" s="498"/>
      <x:c r="H404" s="498"/>
      <x:c r="I404" s="498"/>
      <x:c r="J404" s="498"/>
      <x:c r="K404" s="498"/>
      <x:c r="L404" s="498"/>
      <x:c r="M404" s="498"/>
      <x:c r="N404" s="498"/>
    </x:row>
    <x:row r="405" ht="18" customHeight="1">
      <x:c r="A405" s="498"/>
      <x:c r="B405" s="498"/>
      <x:c r="C405" s="498"/>
      <x:c r="D405" s="498"/>
      <x:c r="E405" s="498"/>
      <x:c r="F405" s="498"/>
      <x:c r="G405" s="498"/>
      <x:c r="H405" s="498"/>
      <x:c r="I405" s="498"/>
      <x:c r="J405" s="498"/>
      <x:c r="K405" s="498"/>
      <x:c r="L405" s="498"/>
      <x:c r="M405" s="498"/>
      <x:c r="N405" s="498"/>
    </x:row>
    <x:row r="406" ht="18" customHeight="1">
      <x:c r="A406" s="498"/>
      <x:c r="B406" s="498"/>
      <x:c r="C406" s="498"/>
      <x:c r="D406" s="498"/>
      <x:c r="E406" s="498"/>
      <x:c r="F406" s="498"/>
      <x:c r="G406" s="498"/>
      <x:c r="H406" s="498"/>
      <x:c r="I406" s="498"/>
      <x:c r="J406" s="498"/>
      <x:c r="K406" s="498"/>
      <x:c r="L406" s="498"/>
      <x:c r="M406" s="498"/>
      <x:c r="N406" s="498"/>
    </x:row>
    <x:row r="407" ht="18" customHeight="1">
      <x:c r="A407" s="498"/>
      <x:c r="B407" s="498"/>
      <x:c r="C407" s="498"/>
      <x:c r="D407" s="498"/>
      <x:c r="E407" s="498"/>
      <x:c r="F407" s="498"/>
      <x:c r="G407" s="498"/>
      <x:c r="H407" s="498"/>
      <x:c r="I407" s="498"/>
      <x:c r="J407" s="498"/>
      <x:c r="K407" s="498"/>
      <x:c r="L407" s="498"/>
      <x:c r="M407" s="498"/>
      <x:c r="N407" s="498"/>
    </x:row>
    <x:row r="408" ht="18" customHeight="1">
      <x:c r="A408" s="498"/>
      <x:c r="B408" s="498"/>
      <x:c r="C408" s="498"/>
      <x:c r="D408" s="498"/>
      <x:c r="E408" s="498"/>
      <x:c r="F408" s="498"/>
      <x:c r="G408" s="498"/>
      <x:c r="H408" s="498"/>
      <x:c r="I408" s="498"/>
      <x:c r="J408" s="498"/>
      <x:c r="K408" s="498"/>
      <x:c r="L408" s="498"/>
      <x:c r="M408" s="498"/>
      <x:c r="N408" s="498"/>
    </x:row>
    <x:row r="409" ht="18" customHeight="1">
      <x:c r="A409" s="498"/>
      <x:c r="B409" s="498"/>
      <x:c r="C409" s="498"/>
      <x:c r="D409" s="498"/>
      <x:c r="E409" s="498"/>
      <x:c r="F409" s="498"/>
      <x:c r="G409" s="498"/>
      <x:c r="H409" s="498"/>
      <x:c r="I409" s="498"/>
      <x:c r="J409" s="498"/>
      <x:c r="K409" s="498"/>
      <x:c r="L409" s="498"/>
      <x:c r="M409" s="498"/>
      <x:c r="N409" s="498"/>
    </x:row>
    <x:row r="410" ht="18" customHeight="1">
      <x:c r="A410" s="498"/>
      <x:c r="B410" s="498"/>
      <x:c r="C410" s="498"/>
      <x:c r="D410" s="498"/>
      <x:c r="E410" s="498"/>
      <x:c r="F410" s="498"/>
      <x:c r="G410" s="498"/>
      <x:c r="H410" s="498"/>
      <x:c r="I410" s="498"/>
      <x:c r="J410" s="498"/>
      <x:c r="K410" s="498"/>
      <x:c r="L410" s="498"/>
      <x:c r="M410" s="498"/>
      <x:c r="N410" s="498"/>
    </x:row>
    <x:row r="411" ht="18" customHeight="1">
      <x:c r="A411" s="498"/>
      <x:c r="B411" s="498"/>
      <x:c r="C411" s="498"/>
      <x:c r="D411" s="498"/>
      <x:c r="E411" s="498"/>
      <x:c r="F411" s="498"/>
      <x:c r="G411" s="498"/>
      <x:c r="H411" s="498"/>
      <x:c r="I411" s="498"/>
      <x:c r="J411" s="498"/>
      <x:c r="K411" s="498"/>
      <x:c r="L411" s="498"/>
      <x:c r="M411" s="498"/>
      <x:c r="N411" s="498"/>
    </x:row>
    <x:row r="412" ht="18" customHeight="1">
      <x:c r="A412" s="498"/>
      <x:c r="B412" s="498"/>
      <x:c r="C412" s="498"/>
      <x:c r="D412" s="498"/>
      <x:c r="E412" s="498"/>
      <x:c r="F412" s="498"/>
      <x:c r="G412" s="498"/>
      <x:c r="H412" s="498"/>
      <x:c r="I412" s="498"/>
      <x:c r="J412" s="498"/>
      <x:c r="K412" s="498"/>
      <x:c r="L412" s="498"/>
      <x:c r="M412" s="498"/>
      <x:c r="N412" s="498"/>
    </x:row>
    <x:row r="413" ht="18" customHeight="1">
      <x:c r="A413" s="498"/>
      <x:c r="B413" s="498"/>
      <x:c r="C413" s="498"/>
      <x:c r="D413" s="498"/>
      <x:c r="E413" s="498"/>
      <x:c r="F413" s="498"/>
      <x:c r="G413" s="498"/>
      <x:c r="H413" s="498"/>
      <x:c r="I413" s="498"/>
      <x:c r="J413" s="498"/>
      <x:c r="K413" s="498"/>
      <x:c r="L413" s="498"/>
      <x:c r="M413" s="498"/>
      <x:c r="N413" s="498"/>
    </x:row>
    <x:row r="414" ht="18" customHeight="1">
      <x:c r="A414" s="498"/>
      <x:c r="B414" s="498"/>
      <x:c r="C414" s="498"/>
      <x:c r="D414" s="498"/>
      <x:c r="E414" s="498"/>
      <x:c r="F414" s="498"/>
      <x:c r="G414" s="498"/>
      <x:c r="H414" s="498"/>
      <x:c r="I414" s="498"/>
      <x:c r="J414" s="498"/>
      <x:c r="K414" s="498"/>
      <x:c r="L414" s="498"/>
      <x:c r="M414" s="498"/>
      <x:c r="N414" s="498"/>
    </x:row>
    <x:row r="415" ht="18" customHeight="1">
      <x:c r="A415" s="498"/>
      <x:c r="B415" s="498"/>
      <x:c r="C415" s="498"/>
      <x:c r="D415" s="498"/>
      <x:c r="E415" s="498"/>
      <x:c r="F415" s="498"/>
      <x:c r="G415" s="498"/>
      <x:c r="H415" s="498"/>
      <x:c r="I415" s="498"/>
      <x:c r="J415" s="498"/>
      <x:c r="K415" s="498"/>
      <x:c r="L415" s="498"/>
      <x:c r="M415" s="498"/>
      <x:c r="N415" s="498"/>
    </x:row>
    <x:row r="416" ht="18" customHeight="1">
      <x:c r="A416" s="498"/>
      <x:c r="B416" s="498"/>
      <x:c r="C416" s="498"/>
      <x:c r="D416" s="498"/>
      <x:c r="E416" s="498"/>
      <x:c r="F416" s="498"/>
      <x:c r="G416" s="498"/>
      <x:c r="H416" s="498"/>
      <x:c r="I416" s="498"/>
      <x:c r="J416" s="498"/>
      <x:c r="K416" s="498"/>
      <x:c r="L416" s="498"/>
      <x:c r="M416" s="498"/>
      <x:c r="N416" s="498"/>
    </x:row>
    <x:row r="417" ht="18" customHeight="1">
      <x:c r="A417" s="498"/>
      <x:c r="B417" s="498"/>
      <x:c r="C417" s="498"/>
      <x:c r="D417" s="498"/>
      <x:c r="E417" s="498"/>
      <x:c r="F417" s="498"/>
      <x:c r="G417" s="498"/>
      <x:c r="H417" s="498"/>
      <x:c r="I417" s="498"/>
      <x:c r="J417" s="498"/>
      <x:c r="K417" s="498"/>
      <x:c r="L417" s="498"/>
      <x:c r="M417" s="498"/>
      <x:c r="N417" s="498"/>
    </x:row>
    <x:row r="418" ht="18" customHeight="1">
      <x:c r="A418" s="498"/>
      <x:c r="B418" s="498"/>
      <x:c r="C418" s="498"/>
      <x:c r="D418" s="498"/>
      <x:c r="E418" s="498"/>
      <x:c r="F418" s="498"/>
      <x:c r="G418" s="498"/>
      <x:c r="H418" s="498"/>
      <x:c r="I418" s="498"/>
      <x:c r="J418" s="498"/>
      <x:c r="K418" s="498"/>
      <x:c r="L418" s="498"/>
      <x:c r="M418" s="498"/>
      <x:c r="N418" s="498"/>
    </x:row>
    <x:row r="419" ht="18" customHeight="1">
      <x:c r="A419" s="498"/>
      <x:c r="B419" s="498"/>
      <x:c r="C419" s="498"/>
      <x:c r="D419" s="498"/>
      <x:c r="E419" s="498"/>
      <x:c r="F419" s="498"/>
      <x:c r="G419" s="498"/>
      <x:c r="H419" s="498"/>
      <x:c r="I419" s="498"/>
      <x:c r="J419" s="498"/>
      <x:c r="K419" s="498"/>
      <x:c r="L419" s="498"/>
      <x:c r="M419" s="498"/>
      <x:c r="N419" s="498"/>
    </x:row>
    <x:row r="420" ht="18" customHeight="1">
      <x:c r="A420" s="498"/>
      <x:c r="B420" s="498"/>
      <x:c r="C420" s="498"/>
      <x:c r="D420" s="498"/>
      <x:c r="E420" s="498"/>
      <x:c r="F420" s="498"/>
      <x:c r="G420" s="498"/>
      <x:c r="H420" s="498"/>
      <x:c r="I420" s="498"/>
      <x:c r="J420" s="498"/>
      <x:c r="K420" s="498"/>
      <x:c r="L420" s="498"/>
      <x:c r="M420" s="498"/>
      <x:c r="N420" s="498"/>
    </x:row>
    <x:row r="421" ht="18" customHeight="1">
      <x:c r="A421" s="498"/>
      <x:c r="B421" s="498"/>
      <x:c r="C421" s="498"/>
      <x:c r="D421" s="498"/>
      <x:c r="E421" s="498"/>
      <x:c r="F421" s="498"/>
      <x:c r="G421" s="498"/>
      <x:c r="H421" s="498"/>
      <x:c r="I421" s="498"/>
      <x:c r="J421" s="498"/>
      <x:c r="K421" s="498"/>
      <x:c r="L421" s="498"/>
      <x:c r="M421" s="498"/>
      <x:c r="N421" s="498"/>
    </x:row>
    <x:row r="422" ht="18" customHeight="1">
      <x:c r="A422" s="498"/>
      <x:c r="B422" s="498"/>
      <x:c r="C422" s="498"/>
      <x:c r="D422" s="498"/>
      <x:c r="E422" s="498"/>
      <x:c r="F422" s="498"/>
      <x:c r="G422" s="498"/>
      <x:c r="H422" s="498"/>
      <x:c r="I422" s="498"/>
      <x:c r="J422" s="498"/>
      <x:c r="K422" s="498"/>
      <x:c r="L422" s="498"/>
      <x:c r="M422" s="498"/>
      <x:c r="N422" s="498"/>
    </x:row>
    <x:row r="423" ht="18" customHeight="1">
      <x:c r="A423" s="498"/>
      <x:c r="B423" s="498"/>
      <x:c r="C423" s="498"/>
      <x:c r="D423" s="498"/>
      <x:c r="E423" s="498"/>
      <x:c r="F423" s="498"/>
      <x:c r="G423" s="498"/>
      <x:c r="H423" s="498"/>
      <x:c r="I423" s="498"/>
      <x:c r="J423" s="498"/>
      <x:c r="K423" s="498"/>
      <x:c r="L423" s="498"/>
      <x:c r="M423" s="498"/>
      <x:c r="N423" s="498"/>
    </x:row>
    <x:row r="424" ht="18" customHeight="1">
      <x:c r="A424" s="498"/>
      <x:c r="B424" s="498"/>
      <x:c r="C424" s="498"/>
      <x:c r="D424" s="498"/>
      <x:c r="E424" s="498"/>
      <x:c r="F424" s="498"/>
      <x:c r="G424" s="498"/>
      <x:c r="H424" s="498"/>
      <x:c r="I424" s="498"/>
      <x:c r="J424" s="498"/>
      <x:c r="K424" s="498"/>
      <x:c r="L424" s="498"/>
      <x:c r="M424" s="498"/>
      <x:c r="N424" s="498"/>
    </x:row>
    <x:row r="425" ht="18" customHeight="1">
      <x:c r="A425" s="498"/>
      <x:c r="B425" s="498"/>
      <x:c r="C425" s="498"/>
      <x:c r="D425" s="498"/>
      <x:c r="E425" s="498"/>
      <x:c r="F425" s="498"/>
      <x:c r="G425" s="498"/>
      <x:c r="H425" s="498"/>
      <x:c r="I425" s="498"/>
      <x:c r="J425" s="498"/>
      <x:c r="K425" s="498"/>
      <x:c r="L425" s="498"/>
      <x:c r="M425" s="498"/>
      <x:c r="N425" s="498"/>
    </x:row>
    <x:row r="426" ht="18" customHeight="1">
      <x:c r="A426" s="498"/>
      <x:c r="B426" s="498"/>
      <x:c r="C426" s="498"/>
      <x:c r="D426" s="498"/>
      <x:c r="E426" s="498"/>
      <x:c r="F426" s="498"/>
      <x:c r="G426" s="498"/>
      <x:c r="H426" s="498"/>
      <x:c r="I426" s="498"/>
      <x:c r="J426" s="498"/>
      <x:c r="K426" s="498"/>
      <x:c r="L426" s="498"/>
      <x:c r="M426" s="498"/>
      <x:c r="N426" s="498"/>
    </x:row>
    <x:row r="427" ht="18" customHeight="1">
      <x:c r="A427" s="498"/>
      <x:c r="B427" s="498"/>
      <x:c r="C427" s="498"/>
      <x:c r="D427" s="498"/>
      <x:c r="E427" s="498"/>
      <x:c r="F427" s="498"/>
      <x:c r="G427" s="498"/>
      <x:c r="H427" s="498"/>
      <x:c r="I427" s="498"/>
      <x:c r="J427" s="498"/>
      <x:c r="K427" s="498"/>
      <x:c r="L427" s="498"/>
      <x:c r="M427" s="498"/>
      <x:c r="N427" s="498"/>
    </x:row>
    <x:row r="428" ht="18" customHeight="1">
      <x:c r="A428" s="498"/>
      <x:c r="B428" s="498"/>
      <x:c r="C428" s="498"/>
      <x:c r="D428" s="498"/>
      <x:c r="E428" s="498"/>
      <x:c r="F428" s="498"/>
      <x:c r="G428" s="498"/>
      <x:c r="H428" s="498"/>
      <x:c r="I428" s="498"/>
      <x:c r="J428" s="498"/>
      <x:c r="K428" s="498"/>
      <x:c r="L428" s="498"/>
      <x:c r="M428" s="498"/>
      <x:c r="N428" s="498"/>
    </x:row>
    <x:row r="429" ht="18" customHeight="1">
      <x:c r="A429" s="498"/>
      <x:c r="B429" s="498"/>
      <x:c r="C429" s="498"/>
      <x:c r="D429" s="498"/>
      <x:c r="E429" s="498"/>
      <x:c r="F429" s="498"/>
      <x:c r="G429" s="498"/>
      <x:c r="H429" s="498"/>
      <x:c r="I429" s="498"/>
      <x:c r="J429" s="498"/>
      <x:c r="K429" s="498"/>
      <x:c r="L429" s="498"/>
      <x:c r="M429" s="498"/>
      <x:c r="N429" s="498"/>
    </x:row>
    <x:row r="430" ht="18" customHeight="1">
      <x:c r="A430" s="498"/>
      <x:c r="B430" s="498"/>
      <x:c r="C430" s="498"/>
      <x:c r="D430" s="498"/>
      <x:c r="E430" s="498"/>
      <x:c r="F430" s="498"/>
      <x:c r="G430" s="498"/>
      <x:c r="H430" s="498"/>
      <x:c r="I430" s="498"/>
      <x:c r="J430" s="498"/>
      <x:c r="K430" s="498"/>
      <x:c r="L430" s="498"/>
      <x:c r="M430" s="498"/>
      <x:c r="N430" s="498"/>
    </x:row>
    <x:row r="431" ht="18" customHeight="1">
      <x:c r="A431" s="498"/>
      <x:c r="B431" s="498"/>
      <x:c r="C431" s="498"/>
      <x:c r="D431" s="498"/>
      <x:c r="E431" s="498"/>
      <x:c r="F431" s="498"/>
      <x:c r="G431" s="498"/>
      <x:c r="H431" s="498"/>
      <x:c r="I431" s="498"/>
      <x:c r="J431" s="498"/>
      <x:c r="K431" s="498"/>
      <x:c r="L431" s="498"/>
      <x:c r="M431" s="498"/>
      <x:c r="N431" s="498"/>
    </x:row>
    <x:row r="432" ht="18" customHeight="1">
      <x:c r="A432" s="498"/>
      <x:c r="B432" s="498"/>
      <x:c r="C432" s="498"/>
      <x:c r="D432" s="498"/>
      <x:c r="E432" s="498"/>
      <x:c r="F432" s="498"/>
      <x:c r="G432" s="498"/>
      <x:c r="H432" s="498"/>
      <x:c r="I432" s="498"/>
      <x:c r="J432" s="498"/>
      <x:c r="K432" s="498"/>
      <x:c r="L432" s="498"/>
      <x:c r="M432" s="498"/>
      <x:c r="N432" s="498"/>
    </x:row>
    <x:row r="433" ht="18" customHeight="1">
      <x:c r="A433" s="498"/>
      <x:c r="B433" s="498"/>
      <x:c r="C433" s="498"/>
      <x:c r="D433" s="498"/>
      <x:c r="E433" s="498"/>
      <x:c r="F433" s="498"/>
      <x:c r="G433" s="498"/>
      <x:c r="H433" s="498"/>
      <x:c r="I433" s="498"/>
      <x:c r="J433" s="498"/>
      <x:c r="K433" s="498"/>
      <x:c r="L433" s="498"/>
      <x:c r="M433" s="498"/>
      <x:c r="N433" s="498"/>
    </x:row>
    <x:row r="434" ht="18" customHeight="1">
      <x:c r="A434" s="498"/>
      <x:c r="B434" s="498"/>
      <x:c r="C434" s="498"/>
      <x:c r="D434" s="498"/>
      <x:c r="E434" s="498"/>
      <x:c r="F434" s="498"/>
      <x:c r="G434" s="498"/>
      <x:c r="H434" s="498"/>
      <x:c r="I434" s="498"/>
      <x:c r="J434" s="498"/>
      <x:c r="K434" s="498"/>
      <x:c r="L434" s="498"/>
      <x:c r="M434" s="498"/>
      <x:c r="N434" s="498"/>
    </x:row>
    <x:row r="435" ht="18" customHeight="1">
      <x:c r="A435" s="498"/>
      <x:c r="B435" s="498"/>
      <x:c r="C435" s="498"/>
      <x:c r="D435" s="498"/>
      <x:c r="E435" s="498"/>
      <x:c r="F435" s="498"/>
      <x:c r="G435" s="498"/>
      <x:c r="H435" s="498"/>
      <x:c r="I435" s="498"/>
      <x:c r="J435" s="498"/>
      <x:c r="K435" s="498"/>
      <x:c r="L435" s="498"/>
      <x:c r="M435" s="498"/>
      <x:c r="N435" s="498"/>
    </x:row>
    <x:row r="436" ht="18" customHeight="1">
      <x:c r="A436" s="498"/>
      <x:c r="B436" s="498"/>
      <x:c r="C436" s="498"/>
      <x:c r="D436" s="498"/>
      <x:c r="E436" s="498"/>
      <x:c r="F436" s="498"/>
      <x:c r="G436" s="498"/>
      <x:c r="H436" s="498"/>
      <x:c r="I436" s="498"/>
      <x:c r="J436" s="498"/>
      <x:c r="K436" s="498"/>
      <x:c r="L436" s="498"/>
      <x:c r="M436" s="498"/>
      <x:c r="N436" s="498"/>
    </x:row>
    <x:row r="437" ht="18" customHeight="1">
      <x:c r="A437" s="498"/>
      <x:c r="B437" s="498"/>
      <x:c r="C437" s="498"/>
      <x:c r="D437" s="498"/>
      <x:c r="E437" s="498"/>
      <x:c r="F437" s="498"/>
      <x:c r="G437" s="498"/>
      <x:c r="H437" s="498"/>
      <x:c r="I437" s="498"/>
      <x:c r="J437" s="498"/>
      <x:c r="K437" s="498"/>
      <x:c r="L437" s="498"/>
      <x:c r="M437" s="498"/>
      <x:c r="N437" s="498"/>
    </x:row>
    <x:row r="438" ht="18" customHeight="1">
      <x:c r="A438" s="498"/>
      <x:c r="B438" s="498"/>
      <x:c r="C438" s="498"/>
      <x:c r="D438" s="498"/>
      <x:c r="E438" s="498"/>
      <x:c r="F438" s="498"/>
      <x:c r="G438" s="498"/>
      <x:c r="H438" s="498"/>
      <x:c r="I438" s="498"/>
      <x:c r="J438" s="498"/>
      <x:c r="K438" s="498"/>
      <x:c r="L438" s="498"/>
      <x:c r="M438" s="498"/>
      <x:c r="N438" s="498"/>
    </x:row>
    <x:row r="439" ht="18" customHeight="1">
      <x:c r="A439" s="498"/>
      <x:c r="B439" s="498"/>
      <x:c r="C439" s="498"/>
      <x:c r="D439" s="498"/>
      <x:c r="E439" s="498"/>
      <x:c r="F439" s="498"/>
      <x:c r="G439" s="498"/>
      <x:c r="H439" s="498"/>
      <x:c r="I439" s="498"/>
      <x:c r="J439" s="498"/>
      <x:c r="K439" s="498"/>
      <x:c r="L439" s="498"/>
      <x:c r="M439" s="498"/>
      <x:c r="N439" s="498"/>
    </x:row>
    <x:row r="440" ht="18" customHeight="1">
      <x:c r="A440" s="498"/>
      <x:c r="B440" s="498"/>
      <x:c r="C440" s="498"/>
      <x:c r="D440" s="498"/>
      <x:c r="E440" s="498"/>
      <x:c r="F440" s="498"/>
      <x:c r="G440" s="498"/>
      <x:c r="H440" s="498"/>
      <x:c r="I440" s="498"/>
      <x:c r="J440" s="498"/>
      <x:c r="K440" s="498"/>
      <x:c r="L440" s="498"/>
      <x:c r="M440" s="498"/>
      <x:c r="N440" s="498"/>
    </x:row>
    <x:row r="441" ht="18" customHeight="1">
      <x:c r="A441" s="498"/>
      <x:c r="B441" s="498"/>
      <x:c r="C441" s="498"/>
      <x:c r="D441" s="498"/>
      <x:c r="E441" s="498"/>
      <x:c r="F441" s="498"/>
      <x:c r="G441" s="498"/>
      <x:c r="H441" s="498"/>
      <x:c r="I441" s="498"/>
      <x:c r="J441" s="498"/>
      <x:c r="K441" s="498"/>
      <x:c r="L441" s="498"/>
      <x:c r="M441" s="498"/>
      <x:c r="N441" s="498"/>
    </x:row>
    <x:row r="442" ht="18" customHeight="1">
      <x:c r="A442" s="498"/>
      <x:c r="B442" s="498"/>
      <x:c r="C442" s="498"/>
      <x:c r="D442" s="498"/>
      <x:c r="E442" s="498"/>
      <x:c r="F442" s="498"/>
      <x:c r="G442" s="498"/>
      <x:c r="H442" s="498"/>
      <x:c r="I442" s="498"/>
      <x:c r="J442" s="498"/>
      <x:c r="K442" s="498"/>
      <x:c r="L442" s="498"/>
      <x:c r="M442" s="498"/>
      <x:c r="N442" s="498"/>
    </x:row>
    <x:row r="443" ht="18" customHeight="1">
      <x:c r="A443" s="498"/>
      <x:c r="B443" s="498"/>
      <x:c r="C443" s="498"/>
      <x:c r="D443" s="498"/>
      <x:c r="E443" s="498"/>
      <x:c r="F443" s="498"/>
      <x:c r="G443" s="498"/>
      <x:c r="H443" s="498"/>
      <x:c r="I443" s="498"/>
      <x:c r="J443" s="498"/>
      <x:c r="K443" s="498"/>
      <x:c r="L443" s="498"/>
      <x:c r="M443" s="498"/>
      <x:c r="N443" s="498"/>
    </x:row>
    <x:row r="444" ht="18" customHeight="1">
      <x:c r="A444" s="498"/>
      <x:c r="B444" s="498"/>
      <x:c r="C444" s="498"/>
      <x:c r="D444" s="498"/>
      <x:c r="E444" s="498"/>
      <x:c r="F444" s="498"/>
      <x:c r="G444" s="498"/>
      <x:c r="H444" s="498"/>
      <x:c r="I444" s="498"/>
      <x:c r="J444" s="498"/>
      <x:c r="K444" s="498"/>
      <x:c r="L444" s="498"/>
      <x:c r="M444" s="498"/>
      <x:c r="N444" s="498"/>
    </x:row>
    <x:row r="445" ht="18" customHeight="1">
      <x:c r="A445" s="498"/>
      <x:c r="B445" s="498"/>
      <x:c r="C445" s="498"/>
      <x:c r="D445" s="498"/>
      <x:c r="E445" s="498"/>
      <x:c r="F445" s="498"/>
      <x:c r="G445" s="498"/>
      <x:c r="H445" s="498"/>
      <x:c r="I445" s="498"/>
      <x:c r="J445" s="498"/>
      <x:c r="K445" s="498"/>
      <x:c r="L445" s="498"/>
      <x:c r="M445" s="498"/>
      <x:c r="N445" s="498"/>
    </x:row>
    <x:row r="446" ht="18" customHeight="1">
      <x:c r="A446" s="498"/>
      <x:c r="B446" s="498"/>
      <x:c r="C446" s="498"/>
      <x:c r="D446" s="498"/>
      <x:c r="E446" s="498"/>
      <x:c r="F446" s="498"/>
      <x:c r="G446" s="498"/>
      <x:c r="H446" s="498"/>
      <x:c r="I446" s="498"/>
      <x:c r="J446" s="498"/>
      <x:c r="K446" s="498"/>
      <x:c r="L446" s="498"/>
      <x:c r="M446" s="498"/>
      <x:c r="N446" s="498"/>
    </x:row>
    <x:row r="447" ht="18" customHeight="1">
      <x:c r="A447" s="498"/>
      <x:c r="B447" s="498"/>
      <x:c r="C447" s="498"/>
      <x:c r="D447" s="498"/>
      <x:c r="E447" s="498"/>
      <x:c r="F447" s="498"/>
      <x:c r="G447" s="498"/>
      <x:c r="H447" s="498"/>
      <x:c r="I447" s="498"/>
      <x:c r="J447" s="498"/>
      <x:c r="K447" s="498"/>
      <x:c r="L447" s="498"/>
      <x:c r="M447" s="498"/>
      <x:c r="N447" s="498"/>
    </x:row>
    <x:row r="448" ht="18" customHeight="1">
      <x:c r="A448" s="498"/>
      <x:c r="B448" s="498"/>
      <x:c r="C448" s="498"/>
      <x:c r="D448" s="498"/>
      <x:c r="E448" s="498"/>
      <x:c r="F448" s="498"/>
      <x:c r="G448" s="498"/>
      <x:c r="H448" s="498"/>
      <x:c r="I448" s="498"/>
      <x:c r="J448" s="498"/>
      <x:c r="K448" s="498"/>
      <x:c r="L448" s="498"/>
      <x:c r="M448" s="498"/>
      <x:c r="N448" s="498"/>
    </x:row>
    <x:row r="449" ht="18" customHeight="1">
      <x:c r="A449" s="498"/>
      <x:c r="B449" s="498"/>
      <x:c r="C449" s="498"/>
      <x:c r="D449" s="498"/>
      <x:c r="E449" s="498"/>
      <x:c r="F449" s="498"/>
      <x:c r="G449" s="498"/>
      <x:c r="H449" s="498"/>
      <x:c r="I449" s="498"/>
      <x:c r="J449" s="498"/>
      <x:c r="K449" s="498"/>
      <x:c r="L449" s="498"/>
      <x:c r="M449" s="498"/>
      <x:c r="N449" s="498"/>
    </x:row>
    <x:row r="450" ht="18" customHeight="1">
      <x:c r="A450" s="498"/>
      <x:c r="B450" s="498"/>
      <x:c r="C450" s="498"/>
      <x:c r="D450" s="498"/>
      <x:c r="E450" s="498"/>
      <x:c r="F450" s="498"/>
      <x:c r="G450" s="498"/>
      <x:c r="H450" s="498"/>
      <x:c r="I450" s="498"/>
      <x:c r="J450" s="498"/>
      <x:c r="K450" s="498"/>
      <x:c r="L450" s="498"/>
      <x:c r="M450" s="498"/>
      <x:c r="N450" s="498"/>
    </x:row>
    <x:row r="451" ht="18" customHeight="1">
      <x:c r="A451" s="498"/>
      <x:c r="B451" s="498"/>
      <x:c r="C451" s="498"/>
      <x:c r="D451" s="498"/>
      <x:c r="E451" s="498"/>
      <x:c r="F451" s="498"/>
      <x:c r="G451" s="498"/>
      <x:c r="H451" s="498"/>
      <x:c r="I451" s="498"/>
      <x:c r="J451" s="498"/>
      <x:c r="K451" s="498"/>
      <x:c r="L451" s="498"/>
      <x:c r="M451" s="498"/>
      <x:c r="N451" s="498"/>
    </x:row>
    <x:row r="452" ht="18" customHeight="1">
      <x:c r="A452" s="498"/>
      <x:c r="B452" s="498"/>
      <x:c r="C452" s="498"/>
      <x:c r="D452" s="498"/>
      <x:c r="E452" s="498"/>
      <x:c r="F452" s="498"/>
      <x:c r="G452" s="498"/>
      <x:c r="H452" s="498"/>
      <x:c r="I452" s="498"/>
      <x:c r="J452" s="498"/>
      <x:c r="K452" s="498"/>
      <x:c r="L452" s="498"/>
      <x:c r="M452" s="498"/>
      <x:c r="N452" s="498"/>
    </x:row>
    <x:row r="453" ht="18" customHeight="1">
      <x:c r="A453" s="498"/>
      <x:c r="B453" s="498"/>
      <x:c r="C453" s="498"/>
      <x:c r="D453" s="498"/>
      <x:c r="E453" s="498"/>
      <x:c r="F453" s="498"/>
      <x:c r="G453" s="498"/>
      <x:c r="H453" s="498"/>
      <x:c r="I453" s="498"/>
      <x:c r="J453" s="498"/>
      <x:c r="K453" s="498"/>
      <x:c r="L453" s="498"/>
      <x:c r="M453" s="498"/>
      <x:c r="N453" s="498"/>
    </x:row>
    <x:row r="454" ht="18" customHeight="1">
      <x:c r="A454" s="498"/>
      <x:c r="B454" s="498"/>
      <x:c r="C454" s="498"/>
      <x:c r="D454" s="498"/>
      <x:c r="E454" s="498"/>
      <x:c r="F454" s="498"/>
      <x:c r="G454" s="498"/>
      <x:c r="H454" s="498"/>
      <x:c r="I454" s="498"/>
      <x:c r="J454" s="498"/>
      <x:c r="K454" s="498"/>
      <x:c r="L454" s="498"/>
      <x:c r="M454" s="498"/>
      <x:c r="N454" s="498"/>
    </x:row>
    <x:row r="455" ht="18" customHeight="1">
      <x:c r="A455" s="498"/>
      <x:c r="B455" s="498"/>
      <x:c r="C455" s="498"/>
      <x:c r="D455" s="498"/>
      <x:c r="E455" s="498"/>
      <x:c r="F455" s="498"/>
      <x:c r="G455" s="498"/>
      <x:c r="H455" s="498"/>
      <x:c r="I455" s="498"/>
      <x:c r="J455" s="498"/>
      <x:c r="K455" s="498"/>
      <x:c r="L455" s="498"/>
      <x:c r="M455" s="498"/>
      <x:c r="N455" s="498"/>
    </x:row>
    <x:row r="456" ht="18" customHeight="1">
      <x:c r="A456" s="498"/>
      <x:c r="B456" s="498"/>
      <x:c r="C456" s="498"/>
      <x:c r="D456" s="498"/>
      <x:c r="E456" s="498"/>
      <x:c r="F456" s="498"/>
      <x:c r="G456" s="498"/>
      <x:c r="H456" s="498"/>
      <x:c r="I456" s="498"/>
      <x:c r="J456" s="498"/>
      <x:c r="K456" s="498"/>
      <x:c r="L456" s="498"/>
      <x:c r="M456" s="498"/>
      <x:c r="N456" s="498"/>
    </x:row>
    <x:row r="457" ht="18" customHeight="1">
      <x:c r="A457" s="498"/>
      <x:c r="B457" s="498"/>
      <x:c r="C457" s="498"/>
      <x:c r="D457" s="498"/>
      <x:c r="E457" s="498"/>
      <x:c r="F457" s="498"/>
      <x:c r="G457" s="498"/>
      <x:c r="H457" s="498"/>
      <x:c r="I457" s="498"/>
      <x:c r="J457" s="498"/>
      <x:c r="K457" s="498"/>
      <x:c r="L457" s="498"/>
      <x:c r="M457" s="498"/>
      <x:c r="N457" s="498"/>
    </x:row>
    <x:row r="458" ht="18" customHeight="1">
      <x:c r="A458" s="498"/>
      <x:c r="B458" s="498"/>
      <x:c r="C458" s="498"/>
      <x:c r="D458" s="498"/>
      <x:c r="E458" s="498"/>
      <x:c r="F458" s="498"/>
      <x:c r="G458" s="498"/>
      <x:c r="H458" s="498"/>
      <x:c r="I458" s="498"/>
      <x:c r="J458" s="498"/>
      <x:c r="K458" s="498"/>
      <x:c r="L458" s="498"/>
      <x:c r="M458" s="498"/>
      <x:c r="N458" s="498"/>
    </x:row>
    <x:row r="459" ht="18" customHeight="1">
      <x:c r="A459" s="498"/>
      <x:c r="B459" s="498"/>
      <x:c r="C459" s="498"/>
      <x:c r="D459" s="498"/>
      <x:c r="E459" s="498"/>
      <x:c r="F459" s="498"/>
      <x:c r="G459" s="498"/>
      <x:c r="H459" s="498"/>
      <x:c r="I459" s="498"/>
      <x:c r="J459" s="498"/>
      <x:c r="K459" s="498"/>
      <x:c r="L459" s="498"/>
      <x:c r="M459" s="498"/>
      <x:c r="N459" s="498"/>
    </x:row>
    <x:row r="460" ht="18" customHeight="1">
      <x:c r="A460" s="498"/>
      <x:c r="B460" s="498"/>
      <x:c r="C460" s="498"/>
      <x:c r="D460" s="498"/>
      <x:c r="E460" s="498"/>
      <x:c r="F460" s="498"/>
      <x:c r="G460" s="498"/>
      <x:c r="H460" s="498"/>
      <x:c r="I460" s="498"/>
      <x:c r="J460" s="498"/>
      <x:c r="K460" s="498"/>
      <x:c r="L460" s="498"/>
      <x:c r="M460" s="498"/>
      <x:c r="N460" s="498"/>
    </x:row>
    <x:row r="461" ht="18" customHeight="1">
      <x:c r="A461" s="498"/>
      <x:c r="B461" s="498"/>
      <x:c r="C461" s="498"/>
      <x:c r="D461" s="498"/>
      <x:c r="E461" s="498"/>
      <x:c r="F461" s="498"/>
      <x:c r="G461" s="498"/>
      <x:c r="H461" s="498"/>
      <x:c r="I461" s="498"/>
      <x:c r="J461" s="498"/>
      <x:c r="K461" s="498"/>
      <x:c r="L461" s="498"/>
      <x:c r="M461" s="498"/>
      <x:c r="N461" s="498"/>
    </x:row>
    <x:row r="462" ht="18" customHeight="1">
      <x:c r="A462" s="498"/>
      <x:c r="B462" s="498"/>
      <x:c r="C462" s="498"/>
      <x:c r="D462" s="498"/>
      <x:c r="E462" s="498"/>
      <x:c r="F462" s="498"/>
      <x:c r="G462" s="498"/>
      <x:c r="H462" s="498"/>
      <x:c r="I462" s="498"/>
      <x:c r="J462" s="498"/>
      <x:c r="K462" s="498"/>
      <x:c r="L462" s="498"/>
      <x:c r="M462" s="498"/>
      <x:c r="N462" s="498"/>
    </x:row>
    <x:row r="463" ht="18" customHeight="1">
      <x:c r="A463" s="498"/>
      <x:c r="B463" s="498"/>
      <x:c r="C463" s="498"/>
      <x:c r="D463" s="498"/>
      <x:c r="E463" s="498"/>
      <x:c r="F463" s="498"/>
      <x:c r="G463" s="498"/>
      <x:c r="H463" s="498"/>
      <x:c r="I463" s="498"/>
      <x:c r="J463" s="498"/>
      <x:c r="K463" s="498"/>
      <x:c r="L463" s="498"/>
      <x:c r="M463" s="498"/>
      <x:c r="N463" s="498"/>
    </x:row>
    <x:row r="464" ht="18" customHeight="1">
      <x:c r="A464" s="498"/>
      <x:c r="B464" s="498"/>
      <x:c r="C464" s="498"/>
      <x:c r="D464" s="498"/>
      <x:c r="E464" s="498"/>
      <x:c r="F464" s="498"/>
      <x:c r="G464" s="498"/>
      <x:c r="H464" s="498"/>
      <x:c r="I464" s="498"/>
      <x:c r="J464" s="498"/>
      <x:c r="K464" s="498"/>
      <x:c r="L464" s="498"/>
      <x:c r="M464" s="498"/>
      <x:c r="N464" s="498"/>
    </x:row>
    <x:row r="465" ht="18" customHeight="1">
      <x:c r="A465" s="498"/>
      <x:c r="B465" s="498"/>
      <x:c r="C465" s="498"/>
      <x:c r="D465" s="498"/>
      <x:c r="E465" s="498"/>
      <x:c r="F465" s="498"/>
      <x:c r="G465" s="498"/>
      <x:c r="H465" s="498"/>
      <x:c r="I465" s="498"/>
      <x:c r="J465" s="498"/>
      <x:c r="K465" s="498"/>
      <x:c r="L465" s="498"/>
      <x:c r="M465" s="498"/>
      <x:c r="N465" s="498"/>
    </x:row>
    <x:row r="466" ht="18" customHeight="1">
      <x:c r="A466" s="498"/>
      <x:c r="B466" s="498"/>
      <x:c r="C466" s="498"/>
      <x:c r="D466" s="498"/>
      <x:c r="E466" s="498"/>
      <x:c r="F466" s="498"/>
      <x:c r="G466" s="498"/>
      <x:c r="H466" s="498"/>
      <x:c r="I466" s="498"/>
      <x:c r="J466" s="498"/>
      <x:c r="K466" s="498"/>
      <x:c r="L466" s="498"/>
      <x:c r="M466" s="498"/>
      <x:c r="N466" s="498"/>
    </x:row>
    <x:row r="467" ht="18" customHeight="1">
      <x:c r="A467" s="498"/>
      <x:c r="B467" s="498"/>
      <x:c r="C467" s="498"/>
      <x:c r="D467" s="498"/>
      <x:c r="E467" s="498"/>
      <x:c r="F467" s="498"/>
      <x:c r="G467" s="498"/>
      <x:c r="H467" s="498"/>
      <x:c r="I467" s="498"/>
      <x:c r="J467" s="498"/>
      <x:c r="K467" s="498"/>
      <x:c r="L467" s="498"/>
      <x:c r="M467" s="498"/>
      <x:c r="N467" s="498"/>
    </x:row>
    <x:row r="468" ht="18" customHeight="1">
      <x:c r="A468" s="498"/>
      <x:c r="B468" s="498"/>
      <x:c r="C468" s="498"/>
      <x:c r="D468" s="498"/>
      <x:c r="E468" s="498"/>
      <x:c r="F468" s="498"/>
      <x:c r="G468" s="498"/>
      <x:c r="H468" s="498"/>
      <x:c r="I468" s="498"/>
      <x:c r="J468" s="498"/>
      <x:c r="K468" s="498"/>
      <x:c r="L468" s="498"/>
      <x:c r="M468" s="498"/>
      <x:c r="N468" s="498"/>
    </x:row>
    <x:row r="469" ht="18" customHeight="1">
      <x:c r="A469" s="498"/>
      <x:c r="B469" s="498"/>
      <x:c r="C469" s="498"/>
      <x:c r="D469" s="498"/>
      <x:c r="E469" s="498"/>
      <x:c r="F469" s="498"/>
      <x:c r="G469" s="498"/>
      <x:c r="H469" s="498"/>
      <x:c r="I469" s="498"/>
      <x:c r="J469" s="498"/>
      <x:c r="K469" s="498"/>
      <x:c r="L469" s="498"/>
      <x:c r="M469" s="498"/>
      <x:c r="N469" s="498"/>
    </x:row>
    <x:row r="470" ht="18" customHeight="1">
      <x:c r="A470" s="498"/>
      <x:c r="B470" s="498"/>
      <x:c r="C470" s="498"/>
      <x:c r="D470" s="498"/>
      <x:c r="E470" s="498"/>
      <x:c r="F470" s="498"/>
      <x:c r="G470" s="498"/>
      <x:c r="H470" s="498"/>
      <x:c r="I470" s="498"/>
      <x:c r="J470" s="498"/>
      <x:c r="K470" s="498"/>
      <x:c r="L470" s="498"/>
      <x:c r="M470" s="498"/>
      <x:c r="N470" s="498"/>
    </x:row>
    <x:row r="471" ht="18" customHeight="1">
      <x:c r="A471" s="498"/>
      <x:c r="B471" s="498"/>
      <x:c r="C471" s="498"/>
      <x:c r="D471" s="498"/>
      <x:c r="E471" s="498"/>
      <x:c r="F471" s="498"/>
      <x:c r="G471" s="498"/>
      <x:c r="H471" s="498"/>
      <x:c r="I471" s="498"/>
      <x:c r="J471" s="498"/>
      <x:c r="K471" s="498"/>
      <x:c r="L471" s="498"/>
      <x:c r="M471" s="498"/>
      <x:c r="N471" s="498"/>
    </x:row>
    <x:row r="472" ht="18" customHeight="1">
      <x:c r="A472" s="498"/>
      <x:c r="B472" s="498"/>
      <x:c r="C472" s="498"/>
      <x:c r="D472" s="498"/>
      <x:c r="E472" s="498"/>
      <x:c r="F472" s="498"/>
      <x:c r="G472" s="498"/>
      <x:c r="H472" s="498"/>
      <x:c r="I472" s="498"/>
      <x:c r="J472" s="498"/>
      <x:c r="K472" s="498"/>
      <x:c r="L472" s="498"/>
      <x:c r="M472" s="498"/>
      <x:c r="N472" s="498"/>
    </x:row>
    <x:row r="473" ht="18" customHeight="1">
      <x:c r="A473" s="498"/>
      <x:c r="B473" s="498"/>
      <x:c r="C473" s="498"/>
      <x:c r="D473" s="498"/>
      <x:c r="E473" s="498"/>
      <x:c r="F473" s="498"/>
      <x:c r="G473" s="498"/>
      <x:c r="H473" s="498"/>
      <x:c r="I473" s="498"/>
      <x:c r="J473" s="498"/>
      <x:c r="K473" s="498"/>
      <x:c r="L473" s="498"/>
      <x:c r="M473" s="498"/>
      <x:c r="N473" s="498"/>
    </x:row>
    <x:row r="474" ht="18" customHeight="1">
      <x:c r="A474" s="498"/>
      <x:c r="B474" s="498"/>
      <x:c r="C474" s="498"/>
      <x:c r="D474" s="498"/>
      <x:c r="E474" s="498"/>
      <x:c r="F474" s="498"/>
      <x:c r="G474" s="498"/>
      <x:c r="H474" s="498"/>
      <x:c r="I474" s="498"/>
      <x:c r="J474" s="498"/>
      <x:c r="K474" s="498"/>
      <x:c r="L474" s="498"/>
      <x:c r="M474" s="498"/>
      <x:c r="N474" s="498"/>
    </x:row>
    <x:row r="475" ht="18" customHeight="1">
      <x:c r="A475" s="498"/>
      <x:c r="B475" s="498"/>
      <x:c r="C475" s="498"/>
      <x:c r="D475" s="498"/>
      <x:c r="E475" s="498"/>
      <x:c r="F475" s="498"/>
      <x:c r="G475" s="498"/>
      <x:c r="H475" s="498"/>
      <x:c r="I475" s="498"/>
      <x:c r="J475" s="498"/>
      <x:c r="K475" s="498"/>
      <x:c r="L475" s="498"/>
      <x:c r="M475" s="498"/>
      <x:c r="N475" s="498"/>
    </x:row>
    <x:row r="476" ht="18" customHeight="1">
      <x:c r="A476" s="498"/>
      <x:c r="B476" s="498"/>
      <x:c r="C476" s="498"/>
      <x:c r="D476" s="498"/>
      <x:c r="E476" s="498"/>
      <x:c r="F476" s="498"/>
      <x:c r="G476" s="498"/>
      <x:c r="H476" s="498"/>
      <x:c r="I476" s="498"/>
      <x:c r="J476" s="498"/>
      <x:c r="K476" s="498"/>
      <x:c r="L476" s="498"/>
      <x:c r="M476" s="498"/>
      <x:c r="N476" s="498"/>
    </x:row>
    <x:row r="477" ht="18" customHeight="1">
      <x:c r="A477" s="498"/>
      <x:c r="B477" s="498"/>
      <x:c r="C477" s="498"/>
      <x:c r="D477" s="498"/>
      <x:c r="E477" s="498"/>
      <x:c r="F477" s="498"/>
      <x:c r="G477" s="498"/>
      <x:c r="H477" s="498"/>
      <x:c r="I477" s="498"/>
      <x:c r="J477" s="498"/>
      <x:c r="K477" s="498"/>
      <x:c r="L477" s="498"/>
      <x:c r="M477" s="498"/>
      <x:c r="N477" s="498"/>
    </x:row>
    <x:row r="478" ht="18" customHeight="1">
      <x:c r="A478" s="498"/>
      <x:c r="B478" s="498"/>
      <x:c r="C478" s="498"/>
      <x:c r="D478" s="498"/>
      <x:c r="E478" s="498"/>
      <x:c r="F478" s="498"/>
      <x:c r="G478" s="498"/>
      <x:c r="H478" s="498"/>
      <x:c r="I478" s="498"/>
      <x:c r="J478" s="498"/>
      <x:c r="K478" s="498"/>
      <x:c r="L478" s="498"/>
      <x:c r="M478" s="498"/>
      <x:c r="N478" s="498"/>
    </x:row>
    <x:row r="479" ht="18" customHeight="1">
      <x:c r="A479" s="498"/>
      <x:c r="B479" s="498"/>
      <x:c r="C479" s="498"/>
      <x:c r="D479" s="498"/>
      <x:c r="E479" s="498"/>
      <x:c r="F479" s="498"/>
      <x:c r="G479" s="498"/>
      <x:c r="H479" s="498"/>
      <x:c r="I479" s="498"/>
      <x:c r="J479" s="498"/>
      <x:c r="K479" s="498"/>
      <x:c r="L479" s="498"/>
      <x:c r="M479" s="498"/>
      <x:c r="N479" s="498"/>
    </x:row>
    <x:row r="480" ht="18" customHeight="1">
      <x:c r="A480" s="498"/>
      <x:c r="B480" s="498"/>
      <x:c r="C480" s="498"/>
      <x:c r="D480" s="498"/>
      <x:c r="E480" s="498"/>
      <x:c r="F480" s="498"/>
      <x:c r="G480" s="498"/>
      <x:c r="H480" s="498"/>
      <x:c r="I480" s="498"/>
      <x:c r="J480" s="498"/>
      <x:c r="K480" s="498"/>
      <x:c r="L480" s="498"/>
      <x:c r="M480" s="498"/>
      <x:c r="N480" s="498"/>
    </x:row>
    <x:row r="481" ht="18" customHeight="1">
      <x:c r="A481" s="498"/>
      <x:c r="B481" s="498"/>
      <x:c r="C481" s="498"/>
      <x:c r="D481" s="498"/>
      <x:c r="E481" s="498"/>
      <x:c r="F481" s="498"/>
      <x:c r="G481" s="498"/>
      <x:c r="H481" s="498"/>
      <x:c r="I481" s="498"/>
      <x:c r="J481" s="498"/>
      <x:c r="K481" s="498"/>
      <x:c r="L481" s="498"/>
      <x:c r="M481" s="498"/>
      <x:c r="N481" s="498"/>
    </x:row>
    <x:row r="482" ht="18" customHeight="1">
      <x:c r="A482" s="498"/>
      <x:c r="B482" s="498"/>
      <x:c r="C482" s="498"/>
      <x:c r="D482" s="498"/>
      <x:c r="E482" s="498"/>
      <x:c r="F482" s="498"/>
      <x:c r="G482" s="498"/>
      <x:c r="H482" s="498"/>
      <x:c r="I482" s="498"/>
      <x:c r="J482" s="498"/>
      <x:c r="K482" s="498"/>
      <x:c r="L482" s="498"/>
      <x:c r="M482" s="498"/>
      <x:c r="N482" s="498"/>
    </x:row>
    <x:row r="483" ht="18" customHeight="1">
      <x:c r="A483" s="498"/>
      <x:c r="B483" s="498"/>
      <x:c r="C483" s="498"/>
      <x:c r="D483" s="498"/>
      <x:c r="E483" s="498"/>
      <x:c r="F483" s="498"/>
      <x:c r="G483" s="498"/>
      <x:c r="H483" s="498"/>
      <x:c r="I483" s="498"/>
      <x:c r="J483" s="498"/>
      <x:c r="K483" s="498"/>
      <x:c r="L483" s="498"/>
      <x:c r="M483" s="498"/>
      <x:c r="N483" s="498"/>
    </x:row>
    <x:row r="484" ht="18" customHeight="1">
      <x:c r="A484" s="498"/>
      <x:c r="B484" s="498"/>
      <x:c r="C484" s="498"/>
      <x:c r="D484" s="498"/>
      <x:c r="E484" s="498"/>
      <x:c r="F484" s="498"/>
      <x:c r="G484" s="498"/>
      <x:c r="H484" s="498"/>
      <x:c r="I484" s="498"/>
      <x:c r="J484" s="498"/>
      <x:c r="K484" s="498"/>
      <x:c r="L484" s="498"/>
      <x:c r="M484" s="498"/>
      <x:c r="N484" s="498"/>
    </x:row>
    <x:row r="485" ht="18" customHeight="1">
      <x:c r="A485" s="498"/>
      <x:c r="B485" s="498"/>
      <x:c r="C485" s="498"/>
      <x:c r="D485" s="498"/>
      <x:c r="E485" s="498"/>
      <x:c r="F485" s="498"/>
      <x:c r="G485" s="498"/>
      <x:c r="H485" s="498"/>
      <x:c r="I485" s="498"/>
      <x:c r="J485" s="498"/>
      <x:c r="K485" s="498"/>
      <x:c r="L485" s="498"/>
      <x:c r="M485" s="498"/>
      <x:c r="N485" s="498"/>
    </x:row>
    <x:row r="486" ht="18" customHeight="1">
      <x:c r="A486" s="498"/>
      <x:c r="B486" s="498"/>
      <x:c r="C486" s="498"/>
      <x:c r="D486" s="498"/>
      <x:c r="E486" s="498"/>
      <x:c r="F486" s="498"/>
      <x:c r="G486" s="498"/>
      <x:c r="H486" s="498"/>
      <x:c r="I486" s="498"/>
      <x:c r="J486" s="498"/>
      <x:c r="K486" s="498"/>
      <x:c r="L486" s="498"/>
      <x:c r="M486" s="498"/>
      <x:c r="N486" s="498"/>
    </x:row>
    <x:row r="487" ht="18" customHeight="1">
      <x:c r="A487" s="498"/>
      <x:c r="B487" s="498"/>
      <x:c r="C487" s="498"/>
      <x:c r="D487" s="498"/>
      <x:c r="E487" s="498"/>
      <x:c r="F487" s="498"/>
      <x:c r="G487" s="498"/>
      <x:c r="H487" s="498"/>
      <x:c r="I487" s="498"/>
      <x:c r="J487" s="498"/>
      <x:c r="K487" s="498"/>
      <x:c r="L487" s="498"/>
      <x:c r="M487" s="498"/>
      <x:c r="N487" s="498"/>
    </x:row>
    <x:row r="488" ht="18" customHeight="1">
      <x:c r="A488" s="498"/>
      <x:c r="B488" s="498"/>
      <x:c r="C488" s="498"/>
      <x:c r="D488" s="498"/>
      <x:c r="E488" s="498"/>
      <x:c r="F488" s="498"/>
      <x:c r="G488" s="498"/>
      <x:c r="H488" s="498"/>
      <x:c r="I488" s="498"/>
      <x:c r="J488" s="498"/>
      <x:c r="K488" s="498"/>
      <x:c r="L488" s="498"/>
      <x:c r="M488" s="498"/>
      <x:c r="N488" s="498"/>
    </x:row>
    <x:row r="489" ht="18" customHeight="1">
      <x:c r="A489" s="498"/>
      <x:c r="B489" s="498"/>
      <x:c r="C489" s="498"/>
      <x:c r="D489" s="498"/>
      <x:c r="E489" s="498"/>
      <x:c r="F489" s="498"/>
      <x:c r="G489" s="498"/>
      <x:c r="H489" s="498"/>
      <x:c r="I489" s="498"/>
      <x:c r="J489" s="498"/>
      <x:c r="K489" s="498"/>
      <x:c r="L489" s="498"/>
      <x:c r="M489" s="498"/>
      <x:c r="N489" s="498"/>
    </x:row>
    <x:row r="490" ht="18" customHeight="1">
      <x:c r="A490" s="498"/>
      <x:c r="B490" s="498"/>
      <x:c r="C490" s="498"/>
      <x:c r="D490" s="498"/>
      <x:c r="E490" s="498"/>
      <x:c r="F490" s="498"/>
      <x:c r="G490" s="498"/>
      <x:c r="H490" s="498"/>
      <x:c r="I490" s="498"/>
      <x:c r="J490" s="498"/>
      <x:c r="K490" s="498"/>
      <x:c r="L490" s="498"/>
      <x:c r="M490" s="498"/>
      <x:c r="N490" s="498"/>
    </x:row>
    <x:row r="491" ht="18" customHeight="1">
      <x:c r="A491" s="498"/>
      <x:c r="B491" s="498"/>
      <x:c r="C491" s="498"/>
      <x:c r="D491" s="498"/>
      <x:c r="E491" s="498"/>
      <x:c r="F491" s="498"/>
      <x:c r="G491" s="498"/>
      <x:c r="H491" s="498"/>
      <x:c r="I491" s="498"/>
      <x:c r="J491" s="498"/>
      <x:c r="K491" s="498"/>
      <x:c r="L491" s="498"/>
      <x:c r="M491" s="498"/>
      <x:c r="N491" s="498"/>
    </x:row>
    <x:row r="492" ht="18" customHeight="1">
      <x:c r="A492" s="498"/>
      <x:c r="B492" s="498"/>
      <x:c r="C492" s="498"/>
      <x:c r="D492" s="498"/>
      <x:c r="E492" s="498"/>
      <x:c r="F492" s="498"/>
      <x:c r="G492" s="498"/>
      <x:c r="H492" s="498"/>
      <x:c r="I492" s="498"/>
      <x:c r="J492" s="498"/>
      <x:c r="K492" s="498"/>
      <x:c r="L492" s="498"/>
      <x:c r="M492" s="498"/>
      <x:c r="N492" s="498"/>
    </x:row>
    <x:row r="493" ht="18" customHeight="1">
      <x:c r="A493" s="498"/>
      <x:c r="B493" s="498"/>
      <x:c r="C493" s="498"/>
      <x:c r="D493" s="498"/>
      <x:c r="E493" s="498"/>
      <x:c r="F493" s="498"/>
      <x:c r="G493" s="498"/>
      <x:c r="H493" s="498"/>
      <x:c r="I493" s="498"/>
      <x:c r="J493" s="498"/>
      <x:c r="K493" s="498"/>
      <x:c r="L493" s="498"/>
      <x:c r="M493" s="498"/>
      <x:c r="N493" s="498"/>
    </x:row>
    <x:row r="494" ht="18" customHeight="1">
      <x:c r="A494" s="498"/>
      <x:c r="B494" s="498"/>
      <x:c r="C494" s="498"/>
      <x:c r="D494" s="498"/>
      <x:c r="E494" s="498"/>
      <x:c r="F494" s="498"/>
      <x:c r="G494" s="498"/>
      <x:c r="H494" s="498"/>
      <x:c r="I494" s="498"/>
      <x:c r="J494" s="498"/>
      <x:c r="K494" s="498"/>
      <x:c r="L494" s="498"/>
      <x:c r="M494" s="498"/>
      <x:c r="N494" s="498"/>
    </x:row>
    <x:row r="495" ht="18" customHeight="1">
      <x:c r="A495" s="498"/>
      <x:c r="B495" s="498"/>
      <x:c r="C495" s="498"/>
      <x:c r="D495" s="498"/>
      <x:c r="E495" s="498"/>
      <x:c r="F495" s="498"/>
      <x:c r="G495" s="498"/>
      <x:c r="H495" s="498"/>
      <x:c r="I495" s="498"/>
      <x:c r="J495" s="498"/>
      <x:c r="K495" s="498"/>
      <x:c r="L495" s="498"/>
      <x:c r="M495" s="498"/>
      <x:c r="N495" s="498"/>
    </x:row>
    <x:row r="496" ht="18" customHeight="1">
      <x:c r="A496" s="498"/>
      <x:c r="B496" s="498"/>
      <x:c r="C496" s="498"/>
      <x:c r="D496" s="498"/>
      <x:c r="E496" s="498"/>
      <x:c r="F496" s="498"/>
      <x:c r="G496" s="498"/>
      <x:c r="H496" s="498"/>
      <x:c r="I496" s="498"/>
      <x:c r="J496" s="498"/>
      <x:c r="K496" s="498"/>
      <x:c r="L496" s="498"/>
      <x:c r="M496" s="498"/>
      <x:c r="N496" s="498"/>
    </x:row>
    <x:row r="497" ht="18" customHeight="1">
      <x:c r="A497" s="498"/>
      <x:c r="B497" s="498"/>
      <x:c r="C497" s="498"/>
      <x:c r="D497" s="498"/>
      <x:c r="E497" s="498"/>
      <x:c r="F497" s="498"/>
      <x:c r="G497" s="498"/>
      <x:c r="H497" s="498"/>
      <x:c r="I497" s="498"/>
      <x:c r="J497" s="498"/>
      <x:c r="K497" s="498"/>
      <x:c r="L497" s="498"/>
      <x:c r="M497" s="498"/>
      <x:c r="N497" s="498"/>
    </x:row>
    <x:row r="498" ht="18" customHeight="1">
      <x:c r="A498" s="498"/>
      <x:c r="B498" s="498"/>
      <x:c r="C498" s="498"/>
      <x:c r="D498" s="498"/>
      <x:c r="E498" s="498"/>
      <x:c r="F498" s="498"/>
      <x:c r="G498" s="498"/>
      <x:c r="H498" s="498"/>
      <x:c r="I498" s="498"/>
      <x:c r="J498" s="498"/>
      <x:c r="K498" s="498"/>
      <x:c r="L498" s="498"/>
      <x:c r="M498" s="498"/>
      <x:c r="N498" s="498"/>
    </x:row>
    <x:row r="499" ht="18" customHeight="1">
      <x:c r="A499" s="498"/>
      <x:c r="B499" s="498"/>
      <x:c r="C499" s="498"/>
      <x:c r="D499" s="498"/>
      <x:c r="E499" s="498"/>
      <x:c r="F499" s="498"/>
      <x:c r="G499" s="498"/>
      <x:c r="H499" s="498"/>
      <x:c r="I499" s="498"/>
      <x:c r="J499" s="498"/>
      <x:c r="K499" s="498"/>
      <x:c r="L499" s="498"/>
      <x:c r="M499" s="498"/>
      <x:c r="N499" s="498"/>
    </x:row>
    <x:row r="500" ht="18" customHeight="1">
      <x:c r="A500" s="498"/>
      <x:c r="B500" s="498"/>
      <x:c r="C500" s="498"/>
      <x:c r="D500" s="498"/>
      <x:c r="E500" s="498"/>
      <x:c r="F500" s="498"/>
      <x:c r="G500" s="498"/>
      <x:c r="H500" s="498"/>
      <x:c r="I500" s="498"/>
      <x:c r="J500" s="498"/>
      <x:c r="K500" s="498"/>
      <x:c r="L500" s="498"/>
      <x:c r="M500" s="498"/>
      <x:c r="N500" s="498"/>
    </x:row>
    <x:row r="501" ht="18" customHeight="1">
      <x:c r="A501" s="498"/>
      <x:c r="B501" s="498"/>
      <x:c r="C501" s="498"/>
      <x:c r="D501" s="498"/>
      <x:c r="E501" s="498"/>
      <x:c r="F501" s="498"/>
      <x:c r="G501" s="498"/>
      <x:c r="H501" s="498"/>
      <x:c r="I501" s="498"/>
      <x:c r="J501" s="498"/>
      <x:c r="K501" s="498"/>
      <x:c r="L501" s="498"/>
      <x:c r="M501" s="498"/>
      <x:c r="N501" s="498"/>
    </x:row>
    <x:row r="502" ht="18" customHeight="1">
      <x:c r="A502" s="498"/>
      <x:c r="B502" s="498"/>
      <x:c r="C502" s="498"/>
      <x:c r="D502" s="498"/>
      <x:c r="E502" s="498"/>
      <x:c r="F502" s="498"/>
      <x:c r="G502" s="498"/>
      <x:c r="H502" s="498"/>
      <x:c r="I502" s="498"/>
      <x:c r="J502" s="498"/>
      <x:c r="K502" s="498"/>
      <x:c r="L502" s="498"/>
      <x:c r="M502" s="498"/>
      <x:c r="N502" s="498"/>
    </x:row>
    <x:row r="503" ht="18" customHeight="1">
      <x:c r="A503" s="498"/>
      <x:c r="B503" s="498"/>
      <x:c r="C503" s="498"/>
      <x:c r="D503" s="498"/>
      <x:c r="E503" s="498"/>
      <x:c r="F503" s="498"/>
      <x:c r="G503" s="498"/>
      <x:c r="H503" s="498"/>
      <x:c r="I503" s="498"/>
      <x:c r="J503" s="498"/>
      <x:c r="K503" s="498"/>
      <x:c r="L503" s="498"/>
      <x:c r="M503" s="498"/>
      <x:c r="N503" s="498"/>
    </x:row>
    <x:row r="504" ht="18" customHeight="1">
      <x:c r="A504" s="498"/>
      <x:c r="B504" s="498"/>
      <x:c r="C504" s="498"/>
      <x:c r="D504" s="498"/>
      <x:c r="E504" s="498"/>
      <x:c r="F504" s="498"/>
      <x:c r="G504" s="498"/>
      <x:c r="H504" s="498"/>
      <x:c r="I504" s="498"/>
      <x:c r="J504" s="498"/>
      <x:c r="K504" s="498"/>
      <x:c r="L504" s="498"/>
      <x:c r="M504" s="498"/>
      <x:c r="N504" s="498"/>
    </x:row>
    <x:row r="505" ht="18" customHeight="1">
      <x:c r="A505" s="498"/>
      <x:c r="B505" s="498"/>
      <x:c r="C505" s="498"/>
      <x:c r="D505" s="498"/>
      <x:c r="E505" s="498"/>
      <x:c r="F505" s="498"/>
      <x:c r="G505" s="498"/>
      <x:c r="H505" s="498"/>
      <x:c r="I505" s="498"/>
      <x:c r="J505" s="498"/>
      <x:c r="K505" s="498"/>
      <x:c r="L505" s="498"/>
      <x:c r="M505" s="498"/>
      <x:c r="N505" s="498"/>
    </x:row>
    <x:row r="506" ht="18" customHeight="1">
      <x:c r="A506" s="498"/>
      <x:c r="B506" s="498"/>
      <x:c r="C506" s="498"/>
      <x:c r="D506" s="498"/>
      <x:c r="E506" s="498"/>
      <x:c r="F506" s="498"/>
      <x:c r="G506" s="498"/>
      <x:c r="H506" s="498"/>
      <x:c r="I506" s="498"/>
      <x:c r="J506" s="498"/>
      <x:c r="K506" s="498"/>
      <x:c r="L506" s="498"/>
      <x:c r="M506" s="498"/>
      <x:c r="N506" s="498"/>
    </x:row>
    <x:row r="507" ht="18" customHeight="1">
      <x:c r="A507" s="498"/>
      <x:c r="B507" s="498"/>
      <x:c r="C507" s="498"/>
      <x:c r="D507" s="498"/>
      <x:c r="E507" s="498"/>
      <x:c r="F507" s="498"/>
      <x:c r="G507" s="498"/>
      <x:c r="H507" s="498"/>
      <x:c r="I507" s="498"/>
      <x:c r="J507" s="498"/>
      <x:c r="K507" s="498"/>
      <x:c r="L507" s="498"/>
      <x:c r="M507" s="498"/>
      <x:c r="N507" s="498"/>
    </x:row>
    <x:row r="508" ht="18" customHeight="1">
      <x:c r="A508" s="498"/>
      <x:c r="B508" s="498"/>
      <x:c r="C508" s="498"/>
      <x:c r="D508" s="498"/>
      <x:c r="E508" s="498"/>
      <x:c r="F508" s="498"/>
      <x:c r="G508" s="498"/>
      <x:c r="H508" s="498"/>
      <x:c r="I508" s="498"/>
      <x:c r="J508" s="498"/>
      <x:c r="K508" s="498"/>
      <x:c r="L508" s="498"/>
      <x:c r="M508" s="498"/>
      <x:c r="N508" s="498"/>
    </x:row>
    <x:row r="509" ht="18" customHeight="1">
      <x:c r="A509" s="498"/>
      <x:c r="B509" s="498"/>
      <x:c r="C509" s="498"/>
      <x:c r="D509" s="498"/>
      <x:c r="E509" s="498"/>
      <x:c r="F509" s="498"/>
      <x:c r="G509" s="498"/>
      <x:c r="H509" s="498"/>
      <x:c r="I509" s="498"/>
      <x:c r="J509" s="498"/>
      <x:c r="K509" s="498"/>
      <x:c r="L509" s="498"/>
      <x:c r="M509" s="498"/>
      <x:c r="N509" s="498"/>
    </x:row>
    <x:row r="510" ht="18" customHeight="1">
      <x:c r="A510" s="498"/>
      <x:c r="B510" s="498"/>
      <x:c r="C510" s="498"/>
      <x:c r="D510" s="498"/>
      <x:c r="E510" s="498"/>
      <x:c r="F510" s="498"/>
      <x:c r="G510" s="498"/>
      <x:c r="H510" s="498"/>
      <x:c r="I510" s="498"/>
      <x:c r="J510" s="498"/>
      <x:c r="K510" s="498"/>
      <x:c r="L510" s="498"/>
      <x:c r="M510" s="498"/>
      <x:c r="N510" s="498"/>
    </x:row>
    <x:row r="511" ht="18" customHeight="1">
      <x:c r="A511" s="498"/>
      <x:c r="B511" s="498"/>
      <x:c r="C511" s="498"/>
      <x:c r="D511" s="498"/>
      <x:c r="E511" s="498"/>
      <x:c r="F511" s="498"/>
      <x:c r="G511" s="498"/>
      <x:c r="H511" s="498"/>
      <x:c r="I511" s="498"/>
      <x:c r="J511" s="498"/>
      <x:c r="K511" s="498"/>
      <x:c r="L511" s="498"/>
      <x:c r="M511" s="498"/>
      <x:c r="N511" s="498"/>
    </x:row>
    <x:row r="512" ht="18" customHeight="1">
      <x:c r="A512" s="498"/>
      <x:c r="B512" s="498"/>
      <x:c r="C512" s="498"/>
      <x:c r="D512" s="498"/>
      <x:c r="E512" s="498"/>
      <x:c r="F512" s="498"/>
      <x:c r="G512" s="498"/>
      <x:c r="H512" s="498"/>
      <x:c r="I512" s="498"/>
      <x:c r="J512" s="498"/>
      <x:c r="K512" s="498"/>
      <x:c r="L512" s="498"/>
      <x:c r="M512" s="498"/>
      <x:c r="N512" s="498"/>
    </x:row>
    <x:row r="513" ht="18" customHeight="1">
      <x:c r="A513" s="498"/>
      <x:c r="B513" s="498"/>
      <x:c r="C513" s="498"/>
      <x:c r="D513" s="498"/>
      <x:c r="E513" s="498"/>
      <x:c r="F513" s="498"/>
      <x:c r="G513" s="498"/>
      <x:c r="H513" s="498"/>
      <x:c r="I513" s="498"/>
      <x:c r="J513" s="498"/>
      <x:c r="K513" s="498"/>
      <x:c r="L513" s="498"/>
      <x:c r="M513" s="498"/>
      <x:c r="N513" s="498"/>
    </x:row>
    <x:row r="514" ht="18" customHeight="1">
      <x:c r="A514" s="498"/>
      <x:c r="B514" s="498"/>
      <x:c r="C514" s="498"/>
      <x:c r="D514" s="498"/>
      <x:c r="E514" s="498"/>
      <x:c r="F514" s="498"/>
      <x:c r="G514" s="498"/>
      <x:c r="H514" s="498"/>
      <x:c r="I514" s="498"/>
      <x:c r="J514" s="498"/>
      <x:c r="K514" s="498"/>
      <x:c r="L514" s="498"/>
      <x:c r="M514" s="498"/>
      <x:c r="N514" s="498"/>
    </x:row>
    <x:row r="515" ht="18" customHeight="1">
      <x:c r="A515" s="498"/>
      <x:c r="B515" s="498"/>
      <x:c r="C515" s="498"/>
      <x:c r="D515" s="498"/>
      <x:c r="E515" s="498"/>
      <x:c r="F515" s="498"/>
      <x:c r="G515" s="498"/>
      <x:c r="H515" s="498"/>
      <x:c r="I515" s="498"/>
      <x:c r="J515" s="498"/>
      <x:c r="K515" s="498"/>
      <x:c r="L515" s="498"/>
      <x:c r="M515" s="498"/>
      <x:c r="N515" s="498"/>
    </x:row>
    <x:row r="516" ht="18" customHeight="1">
      <x:c r="A516" s="498"/>
      <x:c r="B516" s="498"/>
      <x:c r="C516" s="498"/>
      <x:c r="D516" s="498"/>
      <x:c r="E516" s="498"/>
      <x:c r="F516" s="498"/>
      <x:c r="G516" s="498"/>
      <x:c r="H516" s="498"/>
      <x:c r="I516" s="498"/>
      <x:c r="J516" s="498"/>
      <x:c r="K516" s="498"/>
      <x:c r="L516" s="498"/>
      <x:c r="M516" s="498"/>
      <x:c r="N516" s="498"/>
    </x:row>
    <x:row r="517" ht="18" customHeight="1">
      <x:c r="A517" s="498"/>
      <x:c r="B517" s="498"/>
      <x:c r="C517" s="498"/>
      <x:c r="D517" s="498"/>
      <x:c r="E517" s="498"/>
      <x:c r="F517" s="498"/>
      <x:c r="G517" s="498"/>
      <x:c r="H517" s="498"/>
      <x:c r="I517" s="498"/>
      <x:c r="J517" s="498"/>
      <x:c r="K517" s="498"/>
      <x:c r="L517" s="498"/>
      <x:c r="M517" s="498"/>
      <x:c r="N517" s="498"/>
    </x:row>
    <x:row r="518" ht="18" customHeight="1">
      <x:c r="A518" s="498"/>
      <x:c r="B518" s="498"/>
      <x:c r="C518" s="498"/>
      <x:c r="D518" s="498"/>
      <x:c r="E518" s="498"/>
      <x:c r="F518" s="498"/>
      <x:c r="G518" s="498"/>
      <x:c r="H518" s="498"/>
      <x:c r="I518" s="498"/>
      <x:c r="J518" s="498"/>
      <x:c r="K518" s="498"/>
      <x:c r="L518" s="498"/>
      <x:c r="M518" s="498"/>
      <x:c r="N518" s="498"/>
    </x:row>
    <x:row r="519" ht="18" customHeight="1">
      <x:c r="A519" s="498"/>
      <x:c r="B519" s="498"/>
      <x:c r="C519" s="498"/>
      <x:c r="D519" s="498"/>
      <x:c r="E519" s="498"/>
      <x:c r="F519" s="498"/>
      <x:c r="G519" s="498"/>
      <x:c r="H519" s="498"/>
      <x:c r="I519" s="498"/>
      <x:c r="J519" s="498"/>
      <x:c r="K519" s="498"/>
      <x:c r="L519" s="498"/>
      <x:c r="M519" s="498"/>
      <x:c r="N519" s="498"/>
    </x:row>
    <x:row r="520" ht="18" customHeight="1">
      <x:c r="A520" s="498"/>
      <x:c r="B520" s="498"/>
      <x:c r="C520" s="498"/>
      <x:c r="D520" s="498"/>
      <x:c r="E520" s="498"/>
      <x:c r="F520" s="498"/>
      <x:c r="G520" s="498"/>
      <x:c r="H520" s="498"/>
      <x:c r="I520" s="498"/>
      <x:c r="J520" s="498"/>
      <x:c r="K520" s="498"/>
      <x:c r="L520" s="498"/>
      <x:c r="M520" s="498"/>
      <x:c r="N520" s="498"/>
    </x:row>
    <x:row r="521" ht="18" customHeight="1">
      <x:c r="A521" s="498"/>
      <x:c r="B521" s="498"/>
      <x:c r="C521" s="498"/>
      <x:c r="D521" s="498"/>
      <x:c r="E521" s="498"/>
      <x:c r="F521" s="498"/>
      <x:c r="G521" s="498"/>
      <x:c r="H521" s="498"/>
      <x:c r="I521" s="498"/>
      <x:c r="J521" s="498"/>
      <x:c r="K521" s="498"/>
      <x:c r="L521" s="498"/>
      <x:c r="M521" s="498"/>
      <x:c r="N521" s="498"/>
    </x:row>
    <x:row r="522" ht="18" customHeight="1">
      <x:c r="A522" s="498"/>
      <x:c r="B522" s="498"/>
      <x:c r="C522" s="498"/>
      <x:c r="D522" s="498"/>
      <x:c r="E522" s="498"/>
      <x:c r="F522" s="498"/>
      <x:c r="G522" s="498"/>
      <x:c r="H522" s="498"/>
      <x:c r="I522" s="498"/>
      <x:c r="J522" s="498"/>
      <x:c r="K522" s="498"/>
      <x:c r="L522" s="498"/>
      <x:c r="M522" s="498"/>
      <x:c r="N522" s="498"/>
    </x:row>
    <x:row r="523" ht="18" customHeight="1">
      <x:c r="A523" s="498"/>
      <x:c r="B523" s="498"/>
      <x:c r="C523" s="498"/>
      <x:c r="D523" s="498"/>
      <x:c r="E523" s="498"/>
      <x:c r="F523" s="498"/>
      <x:c r="G523" s="498"/>
      <x:c r="H523" s="498"/>
      <x:c r="I523" s="498"/>
      <x:c r="J523" s="498"/>
      <x:c r="K523" s="498"/>
      <x:c r="L523" s="498"/>
      <x:c r="M523" s="498"/>
      <x:c r="N523" s="498"/>
    </x:row>
    <x:row r="524" ht="18" customHeight="1">
      <x:c r="A524" s="498"/>
      <x:c r="B524" s="498"/>
      <x:c r="C524" s="498"/>
      <x:c r="D524" s="498"/>
      <x:c r="E524" s="498"/>
      <x:c r="F524" s="498"/>
      <x:c r="G524" s="498"/>
      <x:c r="H524" s="498"/>
      <x:c r="I524" s="498"/>
      <x:c r="J524" s="498"/>
      <x:c r="K524" s="498"/>
      <x:c r="L524" s="498"/>
      <x:c r="M524" s="498"/>
      <x:c r="N524" s="498"/>
    </x:row>
    <x:row r="525" ht="18" customHeight="1">
      <x:c r="A525" s="498"/>
      <x:c r="B525" s="498"/>
      <x:c r="C525" s="498"/>
      <x:c r="D525" s="498"/>
      <x:c r="E525" s="498"/>
      <x:c r="F525" s="498"/>
      <x:c r="G525" s="498"/>
      <x:c r="H525" s="498"/>
      <x:c r="I525" s="498"/>
      <x:c r="J525" s="498"/>
      <x:c r="K525" s="498"/>
      <x:c r="L525" s="498"/>
      <x:c r="M525" s="498"/>
      <x:c r="N525" s="498"/>
    </x:row>
    <x:row r="526" ht="18" customHeight="1">
      <x:c r="A526" s="498"/>
      <x:c r="B526" s="498"/>
      <x:c r="C526" s="498"/>
      <x:c r="D526" s="498"/>
      <x:c r="E526" s="498"/>
      <x:c r="F526" s="498"/>
      <x:c r="G526" s="498"/>
      <x:c r="H526" s="498"/>
      <x:c r="I526" s="498"/>
      <x:c r="J526" s="498"/>
      <x:c r="K526" s="498"/>
      <x:c r="L526" s="498"/>
      <x:c r="M526" s="498"/>
      <x:c r="N526" s="498"/>
    </x:row>
    <x:row r="527" ht="18" customHeight="1">
      <x:c r="A527" s="498"/>
      <x:c r="B527" s="498"/>
      <x:c r="C527" s="498"/>
      <x:c r="D527" s="498"/>
      <x:c r="E527" s="498"/>
      <x:c r="F527" s="498"/>
      <x:c r="G527" s="498"/>
      <x:c r="H527" s="498"/>
      <x:c r="I527" s="498"/>
      <x:c r="J527" s="498"/>
      <x:c r="K527" s="498"/>
      <x:c r="L527" s="498"/>
      <x:c r="M527" s="498"/>
      <x:c r="N527" s="498"/>
    </x:row>
    <x:row r="528" ht="18" customHeight="1">
      <x:c r="A528" s="498"/>
      <x:c r="B528" s="498"/>
      <x:c r="C528" s="498"/>
      <x:c r="D528" s="498"/>
      <x:c r="E528" s="498"/>
      <x:c r="F528" s="498"/>
      <x:c r="G528" s="498"/>
      <x:c r="H528" s="498"/>
      <x:c r="I528" s="498"/>
      <x:c r="J528" s="498"/>
      <x:c r="K528" s="498"/>
      <x:c r="L528" s="498"/>
      <x:c r="M528" s="498"/>
      <x:c r="N528" s="498"/>
    </x:row>
    <x:row r="529" ht="18" customHeight="1">
      <x:c r="A529" s="498"/>
      <x:c r="B529" s="498"/>
      <x:c r="C529" s="498"/>
      <x:c r="D529" s="498"/>
      <x:c r="E529" s="498"/>
      <x:c r="F529" s="498"/>
      <x:c r="G529" s="498"/>
      <x:c r="H529" s="498"/>
      <x:c r="I529" s="498"/>
      <x:c r="J529" s="498"/>
      <x:c r="K529" s="498"/>
      <x:c r="L529" s="498"/>
      <x:c r="M529" s="498"/>
      <x:c r="N529" s="498"/>
    </x:row>
    <x:row r="530" ht="18" customHeight="1">
      <x:c r="A530" s="498"/>
      <x:c r="B530" s="498"/>
      <x:c r="C530" s="498"/>
      <x:c r="D530" s="498"/>
      <x:c r="E530" s="498"/>
      <x:c r="F530" s="498"/>
      <x:c r="G530" s="498"/>
      <x:c r="H530" s="498"/>
      <x:c r="I530" s="498"/>
      <x:c r="J530" s="498"/>
      <x:c r="K530" s="498"/>
      <x:c r="L530" s="498"/>
      <x:c r="M530" s="498"/>
      <x:c r="N530" s="498"/>
    </x:row>
    <x:row r="531" ht="18" customHeight="1">
      <x:c r="A531" s="498"/>
      <x:c r="B531" s="498"/>
      <x:c r="C531" s="498"/>
      <x:c r="D531" s="498"/>
      <x:c r="E531" s="498"/>
      <x:c r="F531" s="498"/>
      <x:c r="G531" s="498"/>
      <x:c r="H531" s="498"/>
      <x:c r="I531" s="498"/>
      <x:c r="J531" s="498"/>
      <x:c r="K531" s="498"/>
      <x:c r="L531" s="498"/>
      <x:c r="M531" s="498"/>
      <x:c r="N531" s="498"/>
    </x:row>
    <x:row r="532" ht="18" customHeight="1">
      <x:c r="A532" s="498"/>
      <x:c r="B532" s="498"/>
      <x:c r="C532" s="498"/>
      <x:c r="D532" s="498"/>
      <x:c r="E532" s="498"/>
      <x:c r="F532" s="498"/>
      <x:c r="G532" s="498"/>
      <x:c r="H532" s="498"/>
      <x:c r="I532" s="498"/>
      <x:c r="J532" s="498"/>
      <x:c r="K532" s="498"/>
      <x:c r="L532" s="498"/>
      <x:c r="M532" s="498"/>
      <x:c r="N532" s="498"/>
    </x:row>
    <x:row r="533" ht="18" customHeight="1">
      <x:c r="A533" s="498"/>
      <x:c r="B533" s="498"/>
      <x:c r="C533" s="498"/>
      <x:c r="D533" s="498"/>
      <x:c r="E533" s="498"/>
      <x:c r="F533" s="498"/>
      <x:c r="G533" s="498"/>
      <x:c r="H533" s="498"/>
      <x:c r="I533" s="498"/>
      <x:c r="J533" s="498"/>
      <x:c r="K533" s="498"/>
      <x:c r="L533" s="498"/>
      <x:c r="M533" s="498"/>
      <x:c r="N533" s="498"/>
    </x:row>
    <x:row r="534" ht="18" customHeight="1">
      <x:c r="A534" s="498"/>
      <x:c r="B534" s="498"/>
      <x:c r="C534" s="498"/>
      <x:c r="D534" s="498"/>
      <x:c r="E534" s="498"/>
      <x:c r="F534" s="498"/>
      <x:c r="G534" s="498"/>
      <x:c r="H534" s="498"/>
      <x:c r="I534" s="498"/>
      <x:c r="J534" s="498"/>
      <x:c r="K534" s="498"/>
      <x:c r="L534" s="498"/>
      <x:c r="M534" s="498"/>
      <x:c r="N534" s="498"/>
    </x:row>
    <x:row r="535" ht="18" customHeight="1">
      <x:c r="A535" s="498"/>
      <x:c r="B535" s="498"/>
      <x:c r="C535" s="498"/>
      <x:c r="D535" s="498"/>
      <x:c r="E535" s="498"/>
      <x:c r="F535" s="498"/>
      <x:c r="G535" s="498"/>
      <x:c r="H535" s="498"/>
      <x:c r="I535" s="498"/>
      <x:c r="J535" s="498"/>
      <x:c r="K535" s="498"/>
      <x:c r="L535" s="498"/>
      <x:c r="M535" s="498"/>
      <x:c r="N535" s="498"/>
    </x:row>
    <x:row r="536" ht="18" customHeight="1">
      <x:c r="A536" s="498"/>
      <x:c r="B536" s="498"/>
      <x:c r="C536" s="498"/>
      <x:c r="D536" s="498"/>
      <x:c r="E536" s="498"/>
      <x:c r="F536" s="498"/>
      <x:c r="G536" s="498"/>
      <x:c r="H536" s="498"/>
      <x:c r="I536" s="498"/>
      <x:c r="J536" s="498"/>
      <x:c r="K536" s="498"/>
      <x:c r="L536" s="498"/>
      <x:c r="M536" s="498"/>
      <x:c r="N536" s="498"/>
    </x:row>
    <x:row r="537" ht="18" customHeight="1">
      <x:c r="A537" s="498"/>
      <x:c r="B537" s="498"/>
      <x:c r="C537" s="498"/>
      <x:c r="D537" s="498"/>
      <x:c r="E537" s="498"/>
      <x:c r="F537" s="498"/>
      <x:c r="G537" s="498"/>
      <x:c r="H537" s="498"/>
      <x:c r="I537" s="498"/>
      <x:c r="J537" s="498"/>
      <x:c r="K537" s="498"/>
      <x:c r="L537" s="498"/>
      <x:c r="M537" s="498"/>
      <x:c r="N537" s="498"/>
    </x:row>
    <x:row r="538" ht="18" customHeight="1">
      <x:c r="A538" s="498"/>
      <x:c r="B538" s="498"/>
      <x:c r="C538" s="498"/>
      <x:c r="D538" s="498"/>
      <x:c r="E538" s="498"/>
      <x:c r="F538" s="498"/>
      <x:c r="G538" s="498"/>
      <x:c r="H538" s="498"/>
      <x:c r="I538" s="498"/>
      <x:c r="J538" s="498"/>
      <x:c r="K538" s="498"/>
      <x:c r="L538" s="498"/>
      <x:c r="M538" s="498"/>
      <x:c r="N538" s="498"/>
    </x:row>
    <x:row r="539" ht="18" customHeight="1">
      <x:c r="A539" s="498"/>
      <x:c r="B539" s="498"/>
      <x:c r="C539" s="498"/>
      <x:c r="D539" s="498"/>
      <x:c r="E539" s="498"/>
      <x:c r="F539" s="498"/>
      <x:c r="G539" s="498"/>
      <x:c r="H539" s="498"/>
      <x:c r="I539" s="498"/>
      <x:c r="J539" s="498"/>
      <x:c r="K539" s="498"/>
      <x:c r="L539" s="498"/>
      <x:c r="M539" s="498"/>
      <x:c r="N539" s="498"/>
    </x:row>
    <x:row r="540" ht="18" customHeight="1">
      <x:c r="A540" s="498"/>
      <x:c r="B540" s="498"/>
      <x:c r="C540" s="498"/>
      <x:c r="D540" s="498"/>
      <x:c r="E540" s="498"/>
      <x:c r="F540" s="498"/>
      <x:c r="G540" s="498"/>
      <x:c r="H540" s="498"/>
      <x:c r="I540" s="498"/>
      <x:c r="J540" s="498"/>
      <x:c r="K540" s="498"/>
      <x:c r="L540" s="498"/>
      <x:c r="M540" s="498"/>
      <x:c r="N540" s="498"/>
    </x:row>
    <x:row r="541" ht="18" customHeight="1">
      <x:c r="A541" s="498"/>
      <x:c r="B541" s="498"/>
      <x:c r="C541" s="498"/>
      <x:c r="D541" s="498"/>
      <x:c r="E541" s="498"/>
      <x:c r="F541" s="498"/>
      <x:c r="G541" s="498"/>
      <x:c r="H541" s="498"/>
      <x:c r="I541" s="498"/>
      <x:c r="J541" s="498"/>
      <x:c r="K541" s="498"/>
      <x:c r="L541" s="498"/>
      <x:c r="M541" s="498"/>
      <x:c r="N541" s="498"/>
    </x:row>
    <x:row r="542" ht="18" customHeight="1">
      <x:c r="A542" s="498"/>
      <x:c r="B542" s="498"/>
      <x:c r="C542" s="498"/>
      <x:c r="D542" s="498"/>
      <x:c r="E542" s="498"/>
      <x:c r="F542" s="498"/>
      <x:c r="G542" s="498"/>
      <x:c r="H542" s="498"/>
      <x:c r="I542" s="498"/>
      <x:c r="J542" s="498"/>
      <x:c r="K542" s="498"/>
      <x:c r="L542" s="498"/>
      <x:c r="M542" s="498"/>
      <x:c r="N542" s="498"/>
    </x:row>
    <x:row r="543" ht="18" customHeight="1">
      <x:c r="A543" s="498"/>
      <x:c r="B543" s="498"/>
      <x:c r="C543" s="498"/>
      <x:c r="D543" s="498"/>
      <x:c r="E543" s="498"/>
      <x:c r="F543" s="498"/>
      <x:c r="G543" s="498"/>
      <x:c r="H543" s="498"/>
      <x:c r="I543" s="498"/>
      <x:c r="J543" s="498"/>
      <x:c r="K543" s="498"/>
      <x:c r="L543" s="498"/>
      <x:c r="M543" s="498"/>
      <x:c r="N543" s="498"/>
    </x:row>
    <x:row r="544" ht="18" customHeight="1">
      <x:c r="A544" s="498"/>
      <x:c r="B544" s="498"/>
      <x:c r="C544" s="498"/>
      <x:c r="D544" s="498"/>
      <x:c r="E544" s="498"/>
      <x:c r="F544" s="498"/>
      <x:c r="G544" s="498"/>
      <x:c r="H544" s="498"/>
      <x:c r="I544" s="498"/>
      <x:c r="J544" s="498"/>
      <x:c r="K544" s="498"/>
      <x:c r="L544" s="498"/>
      <x:c r="M544" s="498"/>
      <x:c r="N544" s="498"/>
    </x:row>
    <x:row r="545" ht="18" customHeight="1">
      <x:c r="A545" s="498"/>
      <x:c r="B545" s="498"/>
      <x:c r="C545" s="498"/>
      <x:c r="D545" s="498"/>
      <x:c r="E545" s="498"/>
      <x:c r="F545" s="498"/>
      <x:c r="G545" s="498"/>
      <x:c r="H545" s="498"/>
      <x:c r="I545" s="498"/>
      <x:c r="J545" s="498"/>
      <x:c r="K545" s="498"/>
      <x:c r="L545" s="498"/>
      <x:c r="M545" s="498"/>
      <x:c r="N545" s="498"/>
    </x:row>
    <x:row r="546" ht="18" customHeight="1">
      <x:c r="A546" s="498"/>
      <x:c r="B546" s="498"/>
      <x:c r="C546" s="498"/>
      <x:c r="D546" s="498"/>
      <x:c r="E546" s="498"/>
      <x:c r="F546" s="498"/>
      <x:c r="G546" s="498"/>
      <x:c r="H546" s="498"/>
      <x:c r="I546" s="498"/>
      <x:c r="J546" s="498"/>
      <x:c r="K546" s="498"/>
      <x:c r="L546" s="498"/>
      <x:c r="M546" s="498"/>
      <x:c r="N546" s="498"/>
    </x:row>
    <x:row r="547" ht="18" customHeight="1">
      <x:c r="A547" s="498"/>
      <x:c r="B547" s="498"/>
      <x:c r="C547" s="498"/>
      <x:c r="D547" s="498"/>
      <x:c r="E547" s="498"/>
      <x:c r="F547" s="498"/>
      <x:c r="G547" s="498"/>
      <x:c r="H547" s="498"/>
      <x:c r="I547" s="498"/>
      <x:c r="J547" s="498"/>
      <x:c r="K547" s="498"/>
      <x:c r="L547" s="498"/>
      <x:c r="M547" s="498"/>
      <x:c r="N547" s="498"/>
    </x:row>
    <x:row r="548" ht="18" customHeight="1">
      <x:c r="A548" s="498"/>
      <x:c r="B548" s="498"/>
      <x:c r="C548" s="498"/>
      <x:c r="D548" s="498"/>
      <x:c r="E548" s="498"/>
      <x:c r="F548" s="498"/>
      <x:c r="G548" s="498"/>
      <x:c r="H548" s="498"/>
      <x:c r="I548" s="498"/>
      <x:c r="J548" s="498"/>
      <x:c r="K548" s="498"/>
      <x:c r="L548" s="498"/>
      <x:c r="M548" s="498"/>
      <x:c r="N548" s="498"/>
    </x:row>
    <x:row r="549" ht="18" customHeight="1">
      <x:c r="A549" s="498"/>
      <x:c r="B549" s="498"/>
      <x:c r="C549" s="498"/>
      <x:c r="D549" s="498"/>
      <x:c r="E549" s="498"/>
      <x:c r="F549" s="498"/>
      <x:c r="G549" s="498"/>
      <x:c r="H549" s="498"/>
      <x:c r="I549" s="498"/>
      <x:c r="J549" s="498"/>
      <x:c r="K549" s="498"/>
      <x:c r="L549" s="498"/>
      <x:c r="M549" s="498"/>
      <x:c r="N549" s="498"/>
    </x:row>
    <x:row r="550" ht="18" customHeight="1">
      <x:c r="A550" s="498"/>
      <x:c r="B550" s="498"/>
      <x:c r="C550" s="498"/>
      <x:c r="D550" s="498"/>
      <x:c r="E550" s="498"/>
      <x:c r="F550" s="498"/>
      <x:c r="G550" s="498"/>
      <x:c r="H550" s="498"/>
      <x:c r="I550" s="498"/>
      <x:c r="J550" s="498"/>
      <x:c r="K550" s="498"/>
      <x:c r="L550" s="498"/>
      <x:c r="M550" s="498"/>
      <x:c r="N550" s="498"/>
    </x:row>
    <x:row r="551" ht="18" customHeight="1">
      <x:c r="A551" s="498"/>
      <x:c r="B551" s="498"/>
      <x:c r="C551" s="498"/>
      <x:c r="D551" s="498"/>
      <x:c r="E551" s="498"/>
      <x:c r="F551" s="498"/>
      <x:c r="G551" s="498"/>
      <x:c r="H551" s="498"/>
      <x:c r="I551" s="498"/>
      <x:c r="J551" s="498"/>
      <x:c r="K551" s="498"/>
      <x:c r="L551" s="498"/>
      <x:c r="M551" s="498"/>
      <x:c r="N551" s="498"/>
    </x:row>
    <x:row r="552" ht="18" customHeight="1">
      <x:c r="A552" s="498"/>
      <x:c r="B552" s="498"/>
      <x:c r="C552" s="498"/>
      <x:c r="D552" s="498"/>
      <x:c r="E552" s="498"/>
      <x:c r="F552" s="498"/>
      <x:c r="G552" s="498"/>
      <x:c r="H552" s="498"/>
      <x:c r="I552" s="498"/>
      <x:c r="J552" s="498"/>
      <x:c r="K552" s="498"/>
      <x:c r="L552" s="498"/>
      <x:c r="M552" s="498"/>
      <x:c r="N552" s="498"/>
    </x:row>
    <x:row r="553" ht="18" customHeight="1">
      <x:c r="A553" s="498"/>
      <x:c r="B553" s="498"/>
      <x:c r="C553" s="498"/>
      <x:c r="D553" s="498"/>
      <x:c r="E553" s="498"/>
      <x:c r="F553" s="498"/>
      <x:c r="G553" s="498"/>
      <x:c r="H553" s="498"/>
      <x:c r="I553" s="498"/>
      <x:c r="J553" s="498"/>
      <x:c r="K553" s="498"/>
      <x:c r="L553" s="498"/>
      <x:c r="M553" s="498"/>
      <x:c r="N553" s="498"/>
    </x:row>
    <x:row r="554" ht="18" customHeight="1">
      <x:c r="A554" s="498"/>
      <x:c r="B554" s="498"/>
      <x:c r="C554" s="498"/>
      <x:c r="D554" s="498"/>
      <x:c r="E554" s="498"/>
      <x:c r="F554" s="498"/>
      <x:c r="G554" s="498"/>
      <x:c r="H554" s="498"/>
      <x:c r="I554" s="498"/>
      <x:c r="J554" s="498"/>
      <x:c r="K554" s="498"/>
      <x:c r="L554" s="498"/>
      <x:c r="M554" s="498"/>
      <x:c r="N554" s="498"/>
    </x:row>
    <x:row r="555" ht="18" customHeight="1">
      <x:c r="A555" s="498"/>
      <x:c r="B555" s="498"/>
      <x:c r="C555" s="498"/>
      <x:c r="D555" s="498"/>
      <x:c r="E555" s="498"/>
      <x:c r="F555" s="498"/>
      <x:c r="G555" s="498"/>
      <x:c r="H555" s="498"/>
      <x:c r="I555" s="498"/>
      <x:c r="J555" s="498"/>
      <x:c r="K555" s="498"/>
      <x:c r="L555" s="498"/>
      <x:c r="M555" s="498"/>
      <x:c r="N555" s="498"/>
    </x:row>
    <x:row r="556" ht="18" customHeight="1">
      <x:c r="A556" s="498"/>
      <x:c r="B556" s="498"/>
      <x:c r="C556" s="498"/>
      <x:c r="D556" s="498"/>
      <x:c r="E556" s="498"/>
      <x:c r="F556" s="498"/>
      <x:c r="G556" s="498"/>
      <x:c r="H556" s="498"/>
      <x:c r="I556" s="498"/>
      <x:c r="J556" s="498"/>
      <x:c r="K556" s="498"/>
      <x:c r="L556" s="498"/>
      <x:c r="M556" s="498"/>
      <x:c r="N556" s="498"/>
    </x:row>
    <x:row r="557" ht="18" customHeight="1">
      <x:c r="A557" s="498"/>
      <x:c r="B557" s="498"/>
      <x:c r="C557" s="498"/>
      <x:c r="D557" s="498"/>
      <x:c r="E557" s="498"/>
      <x:c r="F557" s="498"/>
      <x:c r="G557" s="498"/>
      <x:c r="H557" s="498"/>
      <x:c r="I557" s="498"/>
      <x:c r="J557" s="498"/>
      <x:c r="K557" s="498"/>
      <x:c r="L557" s="498"/>
      <x:c r="M557" s="498"/>
      <x:c r="N557" s="498"/>
    </x:row>
    <x:row r="558" ht="18" customHeight="1">
      <x:c r="A558" s="498"/>
      <x:c r="B558" s="498"/>
      <x:c r="C558" s="498"/>
      <x:c r="D558" s="498"/>
      <x:c r="E558" s="498"/>
      <x:c r="F558" s="498"/>
      <x:c r="G558" s="498"/>
      <x:c r="H558" s="498"/>
      <x:c r="I558" s="498"/>
      <x:c r="J558" s="498"/>
      <x:c r="K558" s="498"/>
      <x:c r="L558" s="498"/>
      <x:c r="M558" s="498"/>
      <x:c r="N558" s="498"/>
    </x:row>
    <x:row r="559" ht="18" customHeight="1">
      <x:c r="A559" s="498"/>
      <x:c r="B559" s="498"/>
      <x:c r="C559" s="498"/>
      <x:c r="D559" s="498"/>
      <x:c r="E559" s="498"/>
      <x:c r="F559" s="498"/>
      <x:c r="G559" s="498"/>
      <x:c r="H559" s="498"/>
      <x:c r="I559" s="498"/>
      <x:c r="J559" s="498"/>
      <x:c r="K559" s="498"/>
      <x:c r="L559" s="498"/>
      <x:c r="M559" s="498"/>
      <x:c r="N559" s="498"/>
    </x:row>
    <x:row r="560" ht="18" customHeight="1">
      <x:c r="A560" s="498"/>
      <x:c r="B560" s="498"/>
      <x:c r="C560" s="498"/>
      <x:c r="D560" s="498"/>
      <x:c r="E560" s="498"/>
      <x:c r="F560" s="498"/>
      <x:c r="G560" s="498"/>
      <x:c r="H560" s="498"/>
      <x:c r="I560" s="498"/>
      <x:c r="J560" s="498"/>
      <x:c r="K560" s="498"/>
      <x:c r="L560" s="498"/>
      <x:c r="M560" s="498"/>
      <x:c r="N560" s="498"/>
    </x:row>
    <x:row r="561" ht="18" customHeight="1">
      <x:c r="A561" s="498"/>
      <x:c r="B561" s="498"/>
      <x:c r="C561" s="498"/>
      <x:c r="D561" s="498"/>
      <x:c r="E561" s="498"/>
      <x:c r="F561" s="498"/>
      <x:c r="G561" s="498"/>
      <x:c r="H561" s="498"/>
      <x:c r="I561" s="498"/>
      <x:c r="J561" s="498"/>
      <x:c r="K561" s="498"/>
      <x:c r="L561" s="498"/>
      <x:c r="M561" s="498"/>
      <x:c r="N561" s="498"/>
    </x:row>
    <x:row r="562" ht="18" customHeight="1">
      <x:c r="A562" s="498"/>
      <x:c r="B562" s="498"/>
      <x:c r="C562" s="498"/>
      <x:c r="D562" s="498"/>
      <x:c r="E562" s="498"/>
      <x:c r="F562" s="498"/>
      <x:c r="G562" s="498"/>
      <x:c r="H562" s="498"/>
      <x:c r="I562" s="498"/>
      <x:c r="J562" s="498"/>
      <x:c r="K562" s="498"/>
      <x:c r="L562" s="498"/>
      <x:c r="M562" s="498"/>
      <x:c r="N562" s="498"/>
    </x:row>
    <x:row r="563" ht="18" customHeight="1">
      <x:c r="A563" s="498"/>
      <x:c r="B563" s="498"/>
      <x:c r="C563" s="498"/>
      <x:c r="D563" s="498"/>
      <x:c r="E563" s="498"/>
      <x:c r="F563" s="498"/>
      <x:c r="G563" s="498"/>
      <x:c r="H563" s="498"/>
      <x:c r="I563" s="498"/>
      <x:c r="J563" s="498"/>
      <x:c r="K563" s="498"/>
      <x:c r="L563" s="498"/>
      <x:c r="M563" s="498"/>
      <x:c r="N563" s="498"/>
    </x:row>
    <x:row r="564" ht="18" customHeight="1">
      <x:c r="A564" s="498"/>
      <x:c r="B564" s="498"/>
      <x:c r="C564" s="498"/>
      <x:c r="D564" s="498"/>
      <x:c r="E564" s="498"/>
      <x:c r="F564" s="498"/>
      <x:c r="G564" s="498"/>
      <x:c r="H564" s="498"/>
      <x:c r="I564" s="498"/>
      <x:c r="J564" s="498"/>
      <x:c r="K564" s="498"/>
      <x:c r="L564" s="498"/>
      <x:c r="M564" s="498"/>
      <x:c r="N564" s="498"/>
    </x:row>
    <x:row r="565" ht="18" customHeight="1">
      <x:c r="A565" s="498"/>
      <x:c r="B565" s="498"/>
      <x:c r="C565" s="498"/>
      <x:c r="D565" s="498"/>
      <x:c r="E565" s="498"/>
      <x:c r="F565" s="498"/>
      <x:c r="G565" s="498"/>
      <x:c r="H565" s="498"/>
      <x:c r="I565" s="498"/>
      <x:c r="J565" s="498"/>
      <x:c r="K565" s="498"/>
      <x:c r="L565" s="498"/>
      <x:c r="M565" s="498"/>
      <x:c r="N565" s="498"/>
    </x:row>
    <x:row r="566" ht="18" customHeight="1">
      <x:c r="A566" s="498"/>
      <x:c r="B566" s="498"/>
      <x:c r="C566" s="498"/>
      <x:c r="D566" s="498"/>
      <x:c r="E566" s="498"/>
      <x:c r="F566" s="498"/>
      <x:c r="G566" s="498"/>
      <x:c r="H566" s="498"/>
      <x:c r="I566" s="498"/>
      <x:c r="J566" s="498"/>
      <x:c r="K566" s="498"/>
      <x:c r="L566" s="498"/>
      <x:c r="M566" s="498"/>
      <x:c r="N566" s="498"/>
    </x:row>
    <x:row r="567" ht="18" customHeight="1">
      <x:c r="A567" s="498"/>
      <x:c r="B567" s="498"/>
      <x:c r="C567" s="498"/>
      <x:c r="D567" s="498"/>
      <x:c r="E567" s="498"/>
      <x:c r="F567" s="498"/>
      <x:c r="G567" s="498"/>
      <x:c r="H567" s="498"/>
      <x:c r="I567" s="498"/>
      <x:c r="J567" s="498"/>
      <x:c r="K567" s="498"/>
      <x:c r="L567" s="498"/>
      <x:c r="M567" s="498"/>
      <x:c r="N567" s="498"/>
    </x:row>
    <x:row r="568" ht="18" customHeight="1">
      <x:c r="A568" s="498"/>
      <x:c r="B568" s="498"/>
      <x:c r="C568" s="498"/>
      <x:c r="D568" s="498"/>
      <x:c r="E568" s="498"/>
      <x:c r="F568" s="498"/>
      <x:c r="G568" s="498"/>
      <x:c r="H568" s="498"/>
      <x:c r="I568" s="498"/>
      <x:c r="J568" s="498"/>
      <x:c r="K568" s="498"/>
      <x:c r="L568" s="498"/>
      <x:c r="M568" s="498"/>
      <x:c r="N568" s="498"/>
    </x:row>
    <x:row r="569" ht="18" customHeight="1">
      <x:c r="A569" s="498"/>
      <x:c r="B569" s="498"/>
      <x:c r="C569" s="498"/>
      <x:c r="D569" s="498"/>
      <x:c r="E569" s="498"/>
      <x:c r="F569" s="498"/>
      <x:c r="G569" s="498"/>
      <x:c r="H569" s="498"/>
      <x:c r="I569" s="498"/>
      <x:c r="J569" s="498"/>
      <x:c r="K569" s="498"/>
      <x:c r="L569" s="498"/>
      <x:c r="M569" s="498"/>
      <x:c r="N569" s="498"/>
    </x:row>
    <x:row r="570" ht="18" customHeight="1">
      <x:c r="A570" s="498"/>
      <x:c r="B570" s="498"/>
      <x:c r="C570" s="498"/>
      <x:c r="D570" s="498"/>
      <x:c r="E570" s="498"/>
      <x:c r="F570" s="498"/>
      <x:c r="G570" s="498"/>
      <x:c r="H570" s="498"/>
      <x:c r="I570" s="498"/>
      <x:c r="J570" s="498"/>
      <x:c r="K570" s="498"/>
      <x:c r="L570" s="498"/>
      <x:c r="M570" s="498"/>
      <x:c r="N570" s="498"/>
    </x:row>
    <x:row r="571" ht="18" customHeight="1">
      <x:c r="A571" s="498"/>
      <x:c r="B571" s="498"/>
      <x:c r="C571" s="498"/>
      <x:c r="D571" s="498"/>
      <x:c r="E571" s="498"/>
      <x:c r="F571" s="498"/>
      <x:c r="G571" s="498"/>
      <x:c r="H571" s="498"/>
      <x:c r="I571" s="498"/>
      <x:c r="J571" s="498"/>
      <x:c r="K571" s="498"/>
      <x:c r="L571" s="498"/>
      <x:c r="M571" s="498"/>
      <x:c r="N571" s="498"/>
    </x:row>
    <x:row r="572" ht="18" customHeight="1">
      <x:c r="A572" s="498"/>
      <x:c r="B572" s="498"/>
      <x:c r="C572" s="498"/>
      <x:c r="D572" s="498"/>
      <x:c r="E572" s="498"/>
      <x:c r="F572" s="498"/>
      <x:c r="G572" s="498"/>
      <x:c r="H572" s="498"/>
      <x:c r="I572" s="498"/>
      <x:c r="J572" s="498"/>
      <x:c r="K572" s="498"/>
      <x:c r="L572" s="498"/>
      <x:c r="M572" s="498"/>
      <x:c r="N572" s="498"/>
    </x:row>
    <x:row r="573" ht="18" customHeight="1">
      <x:c r="A573" s="498"/>
      <x:c r="B573" s="498"/>
      <x:c r="C573" s="498"/>
      <x:c r="D573" s="498"/>
      <x:c r="E573" s="498"/>
      <x:c r="F573" s="498"/>
      <x:c r="G573" s="498"/>
      <x:c r="H573" s="498"/>
      <x:c r="I573" s="498"/>
      <x:c r="J573" s="498"/>
      <x:c r="K573" s="498"/>
      <x:c r="L573" s="498"/>
      <x:c r="M573" s="498"/>
      <x:c r="N573" s="498"/>
    </x:row>
    <x:row r="574" ht="18" customHeight="1">
      <x:c r="A574" s="498"/>
      <x:c r="B574" s="498"/>
      <x:c r="C574" s="498"/>
      <x:c r="D574" s="498"/>
      <x:c r="E574" s="498"/>
      <x:c r="F574" s="498"/>
      <x:c r="G574" s="498"/>
      <x:c r="H574" s="498"/>
      <x:c r="I574" s="498"/>
      <x:c r="J574" s="498"/>
      <x:c r="K574" s="498"/>
      <x:c r="L574" s="498"/>
      <x:c r="M574" s="498"/>
      <x:c r="N574" s="498"/>
    </x:row>
    <x:row r="575" ht="18" customHeight="1">
      <x:c r="A575" s="498"/>
      <x:c r="B575" s="498"/>
      <x:c r="C575" s="498"/>
      <x:c r="D575" s="498"/>
      <x:c r="E575" s="498"/>
      <x:c r="F575" s="498"/>
      <x:c r="G575" s="498"/>
      <x:c r="H575" s="498"/>
      <x:c r="I575" s="498"/>
      <x:c r="J575" s="498"/>
      <x:c r="K575" s="498"/>
      <x:c r="L575" s="498"/>
      <x:c r="M575" s="498"/>
      <x:c r="N575" s="498"/>
    </x:row>
    <x:row r="576" ht="18" customHeight="1">
      <x:c r="A576" s="498"/>
      <x:c r="B576" s="498"/>
      <x:c r="C576" s="498"/>
      <x:c r="D576" s="498"/>
      <x:c r="E576" s="498"/>
      <x:c r="F576" s="498"/>
      <x:c r="G576" s="498"/>
      <x:c r="H576" s="498"/>
      <x:c r="I576" s="498"/>
      <x:c r="J576" s="498"/>
      <x:c r="K576" s="498"/>
      <x:c r="L576" s="498"/>
      <x:c r="M576" s="498"/>
      <x:c r="N576" s="498"/>
    </x:row>
    <x:row r="577" ht="18" customHeight="1">
      <x:c r="A577" s="498"/>
      <x:c r="B577" s="498"/>
      <x:c r="C577" s="498"/>
      <x:c r="D577" s="498"/>
      <x:c r="E577" s="498"/>
      <x:c r="F577" s="498"/>
      <x:c r="G577" s="498"/>
      <x:c r="H577" s="498"/>
      <x:c r="I577" s="498"/>
      <x:c r="J577" s="498"/>
      <x:c r="K577" s="498"/>
      <x:c r="L577" s="498"/>
      <x:c r="M577" s="498"/>
      <x:c r="N577" s="498"/>
    </x:row>
    <x:row r="578" ht="18" customHeight="1">
      <x:c r="A578" s="498"/>
      <x:c r="B578" s="498"/>
      <x:c r="C578" s="498"/>
      <x:c r="D578" s="498"/>
      <x:c r="E578" s="498"/>
      <x:c r="F578" s="498"/>
      <x:c r="G578" s="498"/>
      <x:c r="H578" s="498"/>
      <x:c r="I578" s="498"/>
      <x:c r="J578" s="498"/>
      <x:c r="K578" s="498"/>
      <x:c r="L578" s="498"/>
      <x:c r="M578" s="498"/>
      <x:c r="N578" s="498"/>
    </x:row>
    <x:row r="579" ht="18" customHeight="1">
      <x:c r="A579" s="498"/>
      <x:c r="B579" s="498"/>
      <x:c r="C579" s="498"/>
      <x:c r="D579" s="498"/>
      <x:c r="E579" s="498"/>
      <x:c r="F579" s="498"/>
      <x:c r="G579" s="498"/>
      <x:c r="H579" s="498"/>
      <x:c r="I579" s="498"/>
      <x:c r="J579" s="498"/>
      <x:c r="K579" s="498"/>
      <x:c r="L579" s="498"/>
      <x:c r="M579" s="498"/>
      <x:c r="N579" s="498"/>
    </x:row>
    <x:row r="580" ht="18" customHeight="1">
      <x:c r="A580" s="498"/>
      <x:c r="B580" s="498"/>
      <x:c r="C580" s="498"/>
      <x:c r="D580" s="498"/>
      <x:c r="E580" s="498"/>
      <x:c r="F580" s="498"/>
      <x:c r="G580" s="498"/>
      <x:c r="H580" s="498"/>
      <x:c r="I580" s="498"/>
      <x:c r="J580" s="498"/>
      <x:c r="K580" s="498"/>
      <x:c r="L580" s="498"/>
      <x:c r="M580" s="498"/>
      <x:c r="N580" s="498"/>
    </x:row>
    <x:row r="581" ht="18" customHeight="1">
      <x:c r="A581" s="498"/>
      <x:c r="B581" s="498"/>
      <x:c r="C581" s="498"/>
      <x:c r="D581" s="498"/>
      <x:c r="E581" s="498"/>
      <x:c r="F581" s="498"/>
      <x:c r="G581" s="498"/>
      <x:c r="H581" s="498"/>
      <x:c r="I581" s="498"/>
      <x:c r="J581" s="498"/>
      <x:c r="K581" s="498"/>
      <x:c r="L581" s="498"/>
      <x:c r="M581" s="498"/>
      <x:c r="N581" s="498"/>
    </x:row>
    <x:row r="582" ht="18" customHeight="1">
      <x:c r="A582" s="498"/>
      <x:c r="B582" s="498"/>
      <x:c r="C582" s="498"/>
      <x:c r="D582" s="498"/>
      <x:c r="E582" s="498"/>
      <x:c r="F582" s="498"/>
      <x:c r="G582" s="498"/>
      <x:c r="H582" s="498"/>
      <x:c r="I582" s="498"/>
      <x:c r="J582" s="498"/>
      <x:c r="K582" s="498"/>
      <x:c r="L582" s="498"/>
      <x:c r="M582" s="498"/>
      <x:c r="N582" s="498"/>
    </x:row>
    <x:row r="583" ht="18" customHeight="1">
      <x:c r="A583" s="498"/>
      <x:c r="B583" s="498"/>
      <x:c r="C583" s="498"/>
      <x:c r="D583" s="498"/>
      <x:c r="E583" s="498"/>
      <x:c r="F583" s="498"/>
      <x:c r="G583" s="498"/>
      <x:c r="H583" s="498"/>
      <x:c r="I583" s="498"/>
      <x:c r="J583" s="498"/>
      <x:c r="K583" s="498"/>
      <x:c r="L583" s="498"/>
      <x:c r="M583" s="498"/>
      <x:c r="N583" s="498"/>
    </x:row>
    <x:row r="584" ht="18" customHeight="1">
      <x:c r="A584" s="498"/>
      <x:c r="B584" s="498"/>
      <x:c r="C584" s="498"/>
      <x:c r="D584" s="498"/>
      <x:c r="E584" s="498"/>
      <x:c r="F584" s="498"/>
      <x:c r="G584" s="498"/>
      <x:c r="H584" s="498"/>
      <x:c r="I584" s="498"/>
      <x:c r="J584" s="498"/>
      <x:c r="K584" s="498"/>
      <x:c r="L584" s="498"/>
      <x:c r="M584" s="498"/>
      <x:c r="N584" s="498"/>
    </x:row>
    <x:row r="585" ht="18" customHeight="1">
      <x:c r="A585" s="498"/>
      <x:c r="B585" s="498"/>
      <x:c r="C585" s="498"/>
      <x:c r="D585" s="498"/>
      <x:c r="E585" s="498"/>
      <x:c r="F585" s="498"/>
      <x:c r="G585" s="498"/>
      <x:c r="H585" s="498"/>
      <x:c r="I585" s="498"/>
      <x:c r="J585" s="498"/>
      <x:c r="K585" s="498"/>
      <x:c r="L585" s="498"/>
      <x:c r="M585" s="498"/>
      <x:c r="N585" s="498"/>
    </x:row>
    <x:row r="586" ht="18" customHeight="1">
      <x:c r="A586" s="498"/>
      <x:c r="B586" s="498"/>
      <x:c r="C586" s="498"/>
      <x:c r="D586" s="498"/>
      <x:c r="E586" s="498"/>
      <x:c r="F586" s="498"/>
      <x:c r="G586" s="498"/>
      <x:c r="H586" s="498"/>
      <x:c r="I586" s="498"/>
      <x:c r="J586" s="498"/>
      <x:c r="K586" s="498"/>
      <x:c r="L586" s="498"/>
      <x:c r="M586" s="498"/>
      <x:c r="N586" s="498"/>
    </x:row>
    <x:row r="587" ht="18" customHeight="1">
      <x:c r="A587" s="498"/>
      <x:c r="B587" s="498"/>
      <x:c r="C587" s="498"/>
      <x:c r="D587" s="498"/>
      <x:c r="E587" s="498"/>
      <x:c r="F587" s="498"/>
      <x:c r="G587" s="498"/>
      <x:c r="H587" s="498"/>
      <x:c r="I587" s="498"/>
      <x:c r="J587" s="498"/>
      <x:c r="K587" s="498"/>
      <x:c r="L587" s="498"/>
      <x:c r="M587" s="498"/>
      <x:c r="N587" s="498"/>
    </x:row>
    <x:row r="588" ht="18" customHeight="1">
      <x:c r="A588" s="498"/>
      <x:c r="B588" s="498"/>
      <x:c r="C588" s="498"/>
      <x:c r="D588" s="498"/>
      <x:c r="E588" s="498"/>
      <x:c r="F588" s="498"/>
      <x:c r="G588" s="498"/>
      <x:c r="H588" s="498"/>
      <x:c r="I588" s="498"/>
      <x:c r="J588" s="498"/>
      <x:c r="K588" s="498"/>
      <x:c r="L588" s="498"/>
      <x:c r="M588" s="498"/>
      <x:c r="N588" s="498"/>
    </x:row>
    <x:row r="589" ht="18" customHeight="1">
      <x:c r="A589" s="498"/>
      <x:c r="B589" s="498"/>
      <x:c r="C589" s="498"/>
      <x:c r="D589" s="498"/>
      <x:c r="E589" s="498"/>
      <x:c r="F589" s="498"/>
      <x:c r="G589" s="498"/>
      <x:c r="H589" s="498"/>
      <x:c r="I589" s="498"/>
      <x:c r="J589" s="498"/>
      <x:c r="K589" s="498"/>
      <x:c r="L589" s="498"/>
      <x:c r="M589" s="498"/>
      <x:c r="N589" s="498"/>
    </x:row>
    <x:row r="590" ht="18" customHeight="1">
      <x:c r="A590" s="498"/>
      <x:c r="B590" s="498"/>
      <x:c r="C590" s="498"/>
      <x:c r="D590" s="498"/>
      <x:c r="E590" s="498"/>
      <x:c r="F590" s="498"/>
      <x:c r="G590" s="498"/>
      <x:c r="H590" s="498"/>
      <x:c r="I590" s="498"/>
      <x:c r="J590" s="498"/>
      <x:c r="K590" s="498"/>
      <x:c r="L590" s="498"/>
      <x:c r="M590" s="498"/>
      <x:c r="N590" s="498"/>
    </x:row>
    <x:row r="591" ht="18" customHeight="1">
      <x:c r="A591" s="498"/>
      <x:c r="B591" s="498"/>
      <x:c r="C591" s="498"/>
      <x:c r="D591" s="498"/>
      <x:c r="E591" s="498"/>
      <x:c r="F591" s="498"/>
      <x:c r="G591" s="498"/>
      <x:c r="H591" s="498"/>
      <x:c r="I591" s="498"/>
      <x:c r="J591" s="498"/>
      <x:c r="K591" s="498"/>
      <x:c r="L591" s="498"/>
      <x:c r="M591" s="498"/>
      <x:c r="N591" s="498"/>
    </x:row>
    <x:row r="592" ht="18" customHeight="1">
      <x:c r="A592" s="498"/>
      <x:c r="B592" s="498"/>
      <x:c r="C592" s="498"/>
      <x:c r="D592" s="498"/>
      <x:c r="E592" s="498"/>
      <x:c r="F592" s="498"/>
      <x:c r="G592" s="498"/>
      <x:c r="H592" s="498"/>
      <x:c r="I592" s="498"/>
      <x:c r="J592" s="498"/>
      <x:c r="K592" s="498"/>
      <x:c r="L592" s="498"/>
      <x:c r="M592" s="498"/>
      <x:c r="N592" s="498"/>
    </x:row>
    <x:row r="593" ht="18" customHeight="1">
      <x:c r="A593" s="498"/>
      <x:c r="B593" s="498"/>
      <x:c r="C593" s="498"/>
      <x:c r="D593" s="498"/>
      <x:c r="E593" s="498"/>
      <x:c r="F593" s="498"/>
      <x:c r="G593" s="498"/>
      <x:c r="H593" s="498"/>
      <x:c r="I593" s="498"/>
      <x:c r="J593" s="498"/>
      <x:c r="K593" s="498"/>
      <x:c r="L593" s="498"/>
      <x:c r="M593" s="498"/>
      <x:c r="N593" s="498"/>
    </x:row>
    <x:row r="594" ht="18" customHeight="1">
      <x:c r="A594" s="498"/>
      <x:c r="B594" s="498"/>
      <x:c r="C594" s="498"/>
      <x:c r="D594" s="498"/>
      <x:c r="E594" s="498"/>
      <x:c r="F594" s="498"/>
      <x:c r="G594" s="498"/>
      <x:c r="H594" s="498"/>
      <x:c r="I594" s="498"/>
      <x:c r="J594" s="498"/>
      <x:c r="K594" s="498"/>
      <x:c r="L594" s="498"/>
      <x:c r="M594" s="498"/>
      <x:c r="N594" s="498"/>
    </x:row>
    <x:row r="595" ht="18" customHeight="1">
      <x:c r="A595" s="498"/>
      <x:c r="B595" s="498"/>
      <x:c r="C595" s="498"/>
      <x:c r="D595" s="498"/>
      <x:c r="E595" s="498"/>
      <x:c r="F595" s="498"/>
      <x:c r="G595" s="498"/>
      <x:c r="H595" s="498"/>
      <x:c r="I595" s="498"/>
      <x:c r="J595" s="498"/>
      <x:c r="K595" s="498"/>
      <x:c r="L595" s="498"/>
      <x:c r="M595" s="498"/>
      <x:c r="N595" s="498"/>
    </x:row>
    <x:row r="596" ht="18" customHeight="1">
      <x:c r="A596" s="498"/>
      <x:c r="B596" s="498"/>
      <x:c r="C596" s="498"/>
      <x:c r="D596" s="498"/>
      <x:c r="E596" s="498"/>
      <x:c r="F596" s="498"/>
      <x:c r="G596" s="498"/>
      <x:c r="H596" s="498"/>
      <x:c r="I596" s="498"/>
      <x:c r="J596" s="498"/>
      <x:c r="K596" s="498"/>
      <x:c r="L596" s="498"/>
      <x:c r="M596" s="498"/>
      <x:c r="N596" s="498"/>
    </x:row>
    <x:row r="597" ht="18" customHeight="1">
      <x:c r="A597" s="498"/>
      <x:c r="B597" s="498"/>
      <x:c r="C597" s="498"/>
      <x:c r="D597" s="498"/>
      <x:c r="E597" s="498"/>
      <x:c r="F597" s="498"/>
      <x:c r="G597" s="498"/>
      <x:c r="H597" s="498"/>
      <x:c r="I597" s="498"/>
      <x:c r="J597" s="498"/>
      <x:c r="K597" s="498"/>
      <x:c r="L597" s="498"/>
      <x:c r="M597" s="498"/>
      <x:c r="N597" s="498"/>
    </x:row>
    <x:row r="598" ht="18" customHeight="1">
      <x:c r="A598" s="498"/>
      <x:c r="B598" s="498"/>
      <x:c r="C598" s="498"/>
      <x:c r="D598" s="498"/>
      <x:c r="E598" s="498"/>
      <x:c r="F598" s="498"/>
      <x:c r="G598" s="498"/>
      <x:c r="H598" s="498"/>
      <x:c r="I598" s="498"/>
      <x:c r="J598" s="498"/>
      <x:c r="K598" s="498"/>
      <x:c r="L598" s="498"/>
      <x:c r="M598" s="498"/>
      <x:c r="N598" s="498"/>
    </x:row>
    <x:row r="599" ht="18" customHeight="1">
      <x:c r="A599" s="498"/>
      <x:c r="B599" s="498"/>
      <x:c r="C599" s="498"/>
      <x:c r="D599" s="498"/>
      <x:c r="E599" s="498"/>
      <x:c r="F599" s="498"/>
      <x:c r="G599" s="498"/>
      <x:c r="H599" s="498"/>
      <x:c r="I599" s="498"/>
      <x:c r="J599" s="498"/>
      <x:c r="K599" s="498"/>
      <x:c r="L599" s="498"/>
      <x:c r="M599" s="498"/>
      <x:c r="N599" s="498"/>
    </x:row>
    <x:row r="600" ht="18" customHeight="1">
      <x:c r="A600" s="498"/>
      <x:c r="B600" s="498"/>
      <x:c r="C600" s="498"/>
      <x:c r="D600" s="498"/>
      <x:c r="E600" s="498"/>
      <x:c r="F600" s="498"/>
      <x:c r="G600" s="498"/>
      <x:c r="H600" s="498"/>
      <x:c r="I600" s="498"/>
      <x:c r="J600" s="498"/>
      <x:c r="K600" s="498"/>
      <x:c r="L600" s="498"/>
      <x:c r="M600" s="498"/>
      <x:c r="N600" s="498"/>
    </x:row>
    <x:row r="601" ht="18" customHeight="1">
      <x:c r="A601" s="498"/>
      <x:c r="B601" s="498"/>
      <x:c r="C601" s="498"/>
      <x:c r="D601" s="498"/>
      <x:c r="E601" s="498"/>
      <x:c r="F601" s="498"/>
      <x:c r="G601" s="498"/>
      <x:c r="H601" s="498"/>
      <x:c r="I601" s="498"/>
      <x:c r="J601" s="498"/>
      <x:c r="K601" s="498"/>
      <x:c r="L601" s="498"/>
      <x:c r="M601" s="498"/>
      <x:c r="N601" s="498"/>
    </x:row>
    <x:row r="602" ht="18" customHeight="1">
      <x:c r="A602" s="498"/>
      <x:c r="B602" s="498"/>
      <x:c r="C602" s="498"/>
      <x:c r="D602" s="498"/>
      <x:c r="E602" s="498"/>
      <x:c r="F602" s="498"/>
      <x:c r="G602" s="498"/>
      <x:c r="H602" s="498"/>
      <x:c r="I602" s="498"/>
      <x:c r="J602" s="498"/>
      <x:c r="K602" s="498"/>
      <x:c r="L602" s="498"/>
      <x:c r="M602" s="498"/>
      <x:c r="N602" s="498"/>
    </x:row>
    <x:row r="603" ht="18" customHeight="1">
      <x:c r="A603" s="498"/>
      <x:c r="B603" s="498"/>
      <x:c r="C603" s="498"/>
      <x:c r="D603" s="498"/>
      <x:c r="E603" s="498"/>
      <x:c r="F603" s="498"/>
      <x:c r="G603" s="498"/>
      <x:c r="H603" s="498"/>
      <x:c r="I603" s="498"/>
      <x:c r="J603" s="498"/>
      <x:c r="K603" s="498"/>
      <x:c r="L603" s="498"/>
      <x:c r="M603" s="498"/>
      <x:c r="N603" s="498"/>
    </x:row>
    <x:row r="604" ht="18" customHeight="1">
      <x:c r="A604" s="498"/>
      <x:c r="B604" s="498"/>
      <x:c r="C604" s="498"/>
      <x:c r="D604" s="498"/>
      <x:c r="E604" s="498"/>
      <x:c r="F604" s="498"/>
      <x:c r="G604" s="498"/>
      <x:c r="H604" s="498"/>
      <x:c r="I604" s="498"/>
      <x:c r="J604" s="498"/>
      <x:c r="K604" s="498"/>
      <x:c r="L604" s="498"/>
      <x:c r="M604" s="498"/>
      <x:c r="N604" s="498"/>
    </x:row>
    <x:row r="605" ht="18" customHeight="1">
      <x:c r="A605" s="498"/>
      <x:c r="B605" s="498"/>
      <x:c r="C605" s="498"/>
      <x:c r="D605" s="498"/>
      <x:c r="E605" s="498"/>
      <x:c r="F605" s="498"/>
      <x:c r="G605" s="498"/>
      <x:c r="H605" s="498"/>
      <x:c r="I605" s="498"/>
      <x:c r="J605" s="498"/>
      <x:c r="K605" s="498"/>
      <x:c r="L605" s="498"/>
      <x:c r="M605" s="498"/>
      <x:c r="N605" s="498"/>
    </x:row>
    <x:row r="606" ht="18" customHeight="1">
      <x:c r="A606" s="498"/>
      <x:c r="B606" s="498"/>
      <x:c r="C606" s="498"/>
      <x:c r="D606" s="498"/>
      <x:c r="E606" s="498"/>
      <x:c r="F606" s="498"/>
      <x:c r="G606" s="498"/>
      <x:c r="H606" s="498"/>
      <x:c r="I606" s="498"/>
      <x:c r="J606" s="498"/>
      <x:c r="K606" s="498"/>
      <x:c r="L606" s="498"/>
      <x:c r="M606" s="498"/>
      <x:c r="N606" s="498"/>
    </x:row>
    <x:row r="607" ht="18" customHeight="1">
      <x:c r="A607" s="498"/>
      <x:c r="B607" s="498"/>
      <x:c r="C607" s="498"/>
      <x:c r="D607" s="498"/>
      <x:c r="E607" s="498"/>
      <x:c r="F607" s="498"/>
      <x:c r="G607" s="498"/>
      <x:c r="H607" s="498"/>
      <x:c r="I607" s="498"/>
      <x:c r="J607" s="498"/>
      <x:c r="K607" s="498"/>
      <x:c r="L607" s="498"/>
      <x:c r="M607" s="498"/>
      <x:c r="N607" s="498"/>
    </x:row>
    <x:row r="608" ht="18" customHeight="1">
      <x:c r="A608" s="498"/>
      <x:c r="B608" s="498"/>
      <x:c r="C608" s="498"/>
      <x:c r="D608" s="498"/>
      <x:c r="E608" s="498"/>
      <x:c r="F608" s="498"/>
      <x:c r="G608" s="498"/>
      <x:c r="H608" s="498"/>
      <x:c r="I608" s="498"/>
      <x:c r="J608" s="498"/>
      <x:c r="K608" s="498"/>
      <x:c r="L608" s="498"/>
      <x:c r="M608" s="498"/>
      <x:c r="N608" s="498"/>
    </x:row>
    <x:row r="609" ht="18" customHeight="1">
      <x:c r="A609" s="498"/>
      <x:c r="B609" s="498"/>
      <x:c r="C609" s="498"/>
      <x:c r="D609" s="498"/>
      <x:c r="E609" s="498"/>
      <x:c r="F609" s="498"/>
      <x:c r="G609" s="498"/>
      <x:c r="H609" s="498"/>
      <x:c r="I609" s="498"/>
      <x:c r="J609" s="498"/>
      <x:c r="K609" s="498"/>
      <x:c r="L609" s="498"/>
      <x:c r="M609" s="498"/>
      <x:c r="N609" s="498"/>
    </x:row>
    <x:row r="610" ht="18" customHeight="1">
      <x:c r="A610" s="498"/>
      <x:c r="B610" s="498"/>
      <x:c r="C610" s="498"/>
      <x:c r="D610" s="498"/>
      <x:c r="E610" s="498"/>
      <x:c r="F610" s="498"/>
      <x:c r="G610" s="498"/>
      <x:c r="H610" s="498"/>
      <x:c r="I610" s="498"/>
      <x:c r="J610" s="498"/>
      <x:c r="K610" s="498"/>
      <x:c r="L610" s="498"/>
      <x:c r="M610" s="498"/>
      <x:c r="N610" s="498"/>
    </x:row>
    <x:row r="611" ht="18" customHeight="1">
      <x:c r="A611" s="498"/>
      <x:c r="B611" s="498"/>
      <x:c r="C611" s="498"/>
      <x:c r="D611" s="498"/>
      <x:c r="E611" s="498"/>
      <x:c r="F611" s="498"/>
      <x:c r="G611" s="498"/>
      <x:c r="H611" s="498"/>
      <x:c r="I611" s="498"/>
      <x:c r="J611" s="498"/>
      <x:c r="K611" s="498"/>
      <x:c r="L611" s="498"/>
      <x:c r="M611" s="498"/>
      <x:c r="N611" s="498"/>
    </x:row>
    <x:row r="612" ht="18" customHeight="1">
      <x:c r="A612" s="498"/>
      <x:c r="B612" s="498"/>
      <x:c r="C612" s="498"/>
      <x:c r="D612" s="498"/>
      <x:c r="E612" s="498"/>
      <x:c r="F612" s="498"/>
      <x:c r="G612" s="498"/>
      <x:c r="H612" s="498"/>
      <x:c r="I612" s="498"/>
      <x:c r="J612" s="498"/>
      <x:c r="K612" s="498"/>
      <x:c r="L612" s="498"/>
      <x:c r="M612" s="498"/>
      <x:c r="N612" s="498"/>
    </x:row>
    <x:row r="613" ht="18" customHeight="1">
      <x:c r="A613" s="498"/>
      <x:c r="B613" s="498"/>
      <x:c r="C613" s="498"/>
      <x:c r="D613" s="498"/>
      <x:c r="E613" s="498"/>
      <x:c r="F613" s="498"/>
      <x:c r="G613" s="498"/>
      <x:c r="H613" s="498"/>
      <x:c r="I613" s="498"/>
      <x:c r="J613" s="498"/>
      <x:c r="K613" s="498"/>
      <x:c r="L613" s="498"/>
      <x:c r="M613" s="498"/>
      <x:c r="N613" s="498"/>
    </x:row>
    <x:row r="614" ht="18" customHeight="1">
      <x:c r="A614" s="498"/>
      <x:c r="B614" s="498"/>
      <x:c r="C614" s="498"/>
      <x:c r="D614" s="498"/>
      <x:c r="E614" s="498"/>
      <x:c r="F614" s="498"/>
      <x:c r="G614" s="498"/>
      <x:c r="H614" s="498"/>
      <x:c r="I614" s="498"/>
      <x:c r="J614" s="498"/>
      <x:c r="K614" s="498"/>
      <x:c r="L614" s="498"/>
      <x:c r="M614" s="498"/>
      <x:c r="N614" s="498"/>
    </x:row>
    <x:row r="615" ht="18" customHeight="1">
      <x:c r="A615" s="498"/>
      <x:c r="B615" s="498"/>
      <x:c r="C615" s="498"/>
      <x:c r="D615" s="498"/>
      <x:c r="E615" s="498"/>
      <x:c r="F615" s="498"/>
      <x:c r="G615" s="498"/>
      <x:c r="H615" s="498"/>
      <x:c r="I615" s="498"/>
      <x:c r="J615" s="498"/>
      <x:c r="K615" s="498"/>
      <x:c r="L615" s="498"/>
      <x:c r="M615" s="498"/>
      <x:c r="N615" s="498"/>
    </x:row>
    <x:row r="616" ht="18" customHeight="1">
      <x:c r="A616" s="498"/>
      <x:c r="B616" s="498"/>
      <x:c r="C616" s="498"/>
      <x:c r="D616" s="498"/>
      <x:c r="E616" s="498"/>
      <x:c r="F616" s="498"/>
      <x:c r="G616" s="498"/>
      <x:c r="H616" s="498"/>
      <x:c r="I616" s="498"/>
      <x:c r="J616" s="498"/>
      <x:c r="K616" s="498"/>
      <x:c r="L616" s="498"/>
      <x:c r="M616" s="498"/>
      <x:c r="N616" s="498"/>
    </x:row>
    <x:row r="617" ht="18" customHeight="1">
      <x:c r="A617" s="498"/>
      <x:c r="B617" s="498"/>
      <x:c r="C617" s="498"/>
      <x:c r="D617" s="498"/>
      <x:c r="E617" s="498"/>
      <x:c r="F617" s="498"/>
      <x:c r="G617" s="498"/>
      <x:c r="H617" s="498"/>
      <x:c r="I617" s="498"/>
      <x:c r="J617" s="498"/>
      <x:c r="K617" s="498"/>
      <x:c r="L617" s="498"/>
      <x:c r="M617" s="498"/>
      <x:c r="N617" s="498"/>
    </x:row>
    <x:row r="618" ht="18" customHeight="1">
      <x:c r="A618" s="498"/>
      <x:c r="B618" s="498"/>
      <x:c r="C618" s="498"/>
      <x:c r="D618" s="498"/>
      <x:c r="E618" s="498"/>
      <x:c r="F618" s="498"/>
      <x:c r="G618" s="498"/>
      <x:c r="H618" s="498"/>
      <x:c r="I618" s="498"/>
      <x:c r="J618" s="498"/>
      <x:c r="K618" s="498"/>
      <x:c r="L618" s="498"/>
      <x:c r="M618" s="498"/>
      <x:c r="N618" s="498"/>
    </x:row>
    <x:row r="619" ht="18" customHeight="1">
      <x:c r="A619" s="498"/>
      <x:c r="B619" s="498"/>
      <x:c r="C619" s="498"/>
      <x:c r="D619" s="498"/>
      <x:c r="E619" s="498"/>
      <x:c r="F619" s="498"/>
      <x:c r="G619" s="498"/>
      <x:c r="H619" s="498"/>
      <x:c r="I619" s="498"/>
      <x:c r="J619" s="498"/>
      <x:c r="K619" s="498"/>
      <x:c r="L619" s="498"/>
      <x:c r="M619" s="498"/>
      <x:c r="N619" s="498"/>
    </x:row>
    <x:row r="620" ht="18" customHeight="1">
      <x:c r="A620" s="498"/>
      <x:c r="B620" s="498"/>
      <x:c r="C620" s="498"/>
      <x:c r="D620" s="498"/>
      <x:c r="E620" s="498"/>
      <x:c r="F620" s="498"/>
      <x:c r="G620" s="498"/>
      <x:c r="H620" s="498"/>
      <x:c r="I620" s="498"/>
      <x:c r="J620" s="498"/>
      <x:c r="K620" s="498"/>
      <x:c r="L620" s="498"/>
      <x:c r="M620" s="498"/>
      <x:c r="N620" s="498"/>
    </x:row>
    <x:row r="621" ht="18" customHeight="1">
      <x:c r="A621" s="498"/>
      <x:c r="B621" s="498"/>
      <x:c r="C621" s="498"/>
      <x:c r="D621" s="498"/>
      <x:c r="E621" s="498"/>
      <x:c r="F621" s="498"/>
      <x:c r="G621" s="498"/>
      <x:c r="H621" s="498"/>
      <x:c r="I621" s="498"/>
      <x:c r="J621" s="498"/>
      <x:c r="K621" s="498"/>
      <x:c r="L621" s="498"/>
      <x:c r="M621" s="498"/>
      <x:c r="N621" s="498"/>
    </x:row>
    <x:row r="622" ht="18" customHeight="1">
      <x:c r="A622" s="498"/>
      <x:c r="B622" s="498"/>
      <x:c r="C622" s="498"/>
      <x:c r="D622" s="498"/>
      <x:c r="E622" s="498"/>
      <x:c r="F622" s="498"/>
      <x:c r="G622" s="498"/>
      <x:c r="H622" s="498"/>
      <x:c r="I622" s="498"/>
      <x:c r="J622" s="498"/>
      <x:c r="K622" s="498"/>
      <x:c r="L622" s="498"/>
      <x:c r="M622" s="498"/>
      <x:c r="N622" s="498"/>
    </x:row>
    <x:row r="623" ht="18" customHeight="1">
      <x:c r="A623" s="498"/>
      <x:c r="B623" s="498"/>
      <x:c r="C623" s="498"/>
      <x:c r="D623" s="498"/>
      <x:c r="E623" s="498"/>
      <x:c r="F623" s="498"/>
      <x:c r="G623" s="498"/>
      <x:c r="H623" s="498"/>
      <x:c r="I623" s="498"/>
      <x:c r="J623" s="498"/>
      <x:c r="K623" s="498"/>
      <x:c r="L623" s="498"/>
      <x:c r="M623" s="498"/>
      <x:c r="N623" s="498"/>
    </x:row>
    <x:row r="624" ht="18" customHeight="1">
      <x:c r="A624" s="498"/>
      <x:c r="B624" s="498"/>
      <x:c r="C624" s="498"/>
      <x:c r="D624" s="498"/>
      <x:c r="E624" s="498"/>
      <x:c r="F624" s="498"/>
      <x:c r="G624" s="498"/>
      <x:c r="H624" s="498"/>
      <x:c r="I624" s="498"/>
      <x:c r="J624" s="498"/>
      <x:c r="K624" s="498"/>
      <x:c r="L624" s="498"/>
      <x:c r="M624" s="498"/>
      <x:c r="N624" s="498"/>
    </x:row>
    <x:row r="625" ht="18" customHeight="1">
      <x:c r="A625" s="498"/>
      <x:c r="B625" s="498"/>
      <x:c r="C625" s="498"/>
      <x:c r="D625" s="498"/>
      <x:c r="E625" s="498"/>
      <x:c r="F625" s="498"/>
      <x:c r="G625" s="498"/>
      <x:c r="H625" s="498"/>
      <x:c r="I625" s="498"/>
      <x:c r="J625" s="498"/>
      <x:c r="K625" s="498"/>
      <x:c r="L625" s="498"/>
      <x:c r="M625" s="498"/>
      <x:c r="N625" s="498"/>
    </x:row>
    <x:row r="626" ht="18" customHeight="1">
      <x:c r="A626" s="498"/>
      <x:c r="B626" s="498"/>
      <x:c r="C626" s="498"/>
      <x:c r="D626" s="498"/>
      <x:c r="E626" s="498"/>
      <x:c r="F626" s="498"/>
      <x:c r="G626" s="498"/>
      <x:c r="H626" s="498"/>
      <x:c r="I626" s="498"/>
      <x:c r="J626" s="498"/>
      <x:c r="K626" s="498"/>
      <x:c r="L626" s="498"/>
      <x:c r="M626" s="498"/>
      <x:c r="N626" s="498"/>
    </x:row>
    <x:row r="627" ht="18" customHeight="1">
      <x:c r="A627" s="498"/>
      <x:c r="B627" s="498"/>
      <x:c r="C627" s="498"/>
      <x:c r="D627" s="498"/>
      <x:c r="E627" s="498"/>
      <x:c r="F627" s="498"/>
      <x:c r="G627" s="498"/>
      <x:c r="H627" s="498"/>
      <x:c r="I627" s="498"/>
      <x:c r="J627" s="498"/>
      <x:c r="K627" s="498"/>
      <x:c r="L627" s="498"/>
      <x:c r="M627" s="498"/>
      <x:c r="N627" s="498"/>
    </x:row>
    <x:row r="628" ht="18" customHeight="1">
      <x:c r="A628" s="498"/>
      <x:c r="B628" s="498"/>
      <x:c r="C628" s="498"/>
      <x:c r="D628" s="498"/>
      <x:c r="E628" s="498"/>
      <x:c r="F628" s="498"/>
      <x:c r="G628" s="498"/>
      <x:c r="H628" s="498"/>
      <x:c r="I628" s="498"/>
      <x:c r="J628" s="498"/>
      <x:c r="K628" s="498"/>
      <x:c r="L628" s="498"/>
      <x:c r="M628" s="498"/>
      <x:c r="N628" s="498"/>
    </x:row>
    <x:row r="629" ht="18" customHeight="1">
      <x:c r="A629" s="498"/>
      <x:c r="B629" s="498"/>
      <x:c r="C629" s="498"/>
      <x:c r="D629" s="498"/>
      <x:c r="E629" s="498"/>
      <x:c r="F629" s="498"/>
      <x:c r="G629" s="498"/>
      <x:c r="H629" s="498"/>
      <x:c r="I629" s="498"/>
      <x:c r="J629" s="498"/>
      <x:c r="K629" s="498"/>
      <x:c r="L629" s="498"/>
      <x:c r="M629" s="498"/>
      <x:c r="N629" s="498"/>
    </x:row>
    <x:row r="630" ht="18" customHeight="1">
      <x:c r="A630" s="498"/>
      <x:c r="B630" s="498"/>
      <x:c r="C630" s="498"/>
      <x:c r="D630" s="498"/>
      <x:c r="E630" s="498"/>
      <x:c r="F630" s="498"/>
      <x:c r="G630" s="498"/>
      <x:c r="H630" s="498"/>
      <x:c r="I630" s="498"/>
      <x:c r="J630" s="498"/>
      <x:c r="K630" s="498"/>
      <x:c r="L630" s="498"/>
      <x:c r="M630" s="498"/>
      <x:c r="N630" s="498"/>
    </x:row>
    <x:row r="631" ht="18" customHeight="1">
      <x:c r="A631" s="498"/>
      <x:c r="B631" s="498"/>
      <x:c r="C631" s="498"/>
      <x:c r="D631" s="498"/>
      <x:c r="E631" s="498"/>
      <x:c r="F631" s="498"/>
      <x:c r="G631" s="498"/>
      <x:c r="H631" s="498"/>
      <x:c r="I631" s="498"/>
      <x:c r="J631" s="498"/>
      <x:c r="K631" s="498"/>
      <x:c r="L631" s="498"/>
      <x:c r="M631" s="498"/>
      <x:c r="N631" s="498"/>
    </x:row>
    <x:row r="632" ht="18" customHeight="1">
      <x:c r="A632" s="498"/>
      <x:c r="B632" s="498"/>
      <x:c r="C632" s="498"/>
      <x:c r="D632" s="498"/>
      <x:c r="E632" s="498"/>
      <x:c r="F632" s="498"/>
      <x:c r="G632" s="498"/>
      <x:c r="H632" s="498"/>
      <x:c r="I632" s="498"/>
      <x:c r="J632" s="498"/>
      <x:c r="K632" s="498"/>
      <x:c r="L632" s="498"/>
      <x:c r="M632" s="498"/>
      <x:c r="N632" s="498"/>
    </x:row>
    <x:row r="633" ht="18" customHeight="1">
      <x:c r="A633" s="498"/>
      <x:c r="B633" s="498"/>
      <x:c r="C633" s="498"/>
      <x:c r="D633" s="498"/>
      <x:c r="E633" s="498"/>
      <x:c r="F633" s="498"/>
      <x:c r="G633" s="498"/>
      <x:c r="H633" s="498"/>
      <x:c r="I633" s="498"/>
      <x:c r="J633" s="498"/>
      <x:c r="K633" s="498"/>
      <x:c r="L633" s="498"/>
      <x:c r="M633" s="498"/>
      <x:c r="N633" s="498"/>
    </x:row>
    <x:row r="634" ht="18" customHeight="1">
      <x:c r="A634" s="498"/>
      <x:c r="B634" s="498"/>
      <x:c r="C634" s="498"/>
      <x:c r="D634" s="498"/>
      <x:c r="E634" s="498"/>
      <x:c r="F634" s="498"/>
      <x:c r="G634" s="498"/>
      <x:c r="H634" s="498"/>
      <x:c r="I634" s="498"/>
      <x:c r="J634" s="498"/>
      <x:c r="K634" s="498"/>
      <x:c r="L634" s="498"/>
      <x:c r="M634" s="498"/>
      <x:c r="N634" s="498"/>
    </x:row>
    <x:row r="635" ht="18" customHeight="1">
      <x:c r="A635" s="498"/>
      <x:c r="B635" s="498"/>
      <x:c r="C635" s="498"/>
      <x:c r="D635" s="498"/>
      <x:c r="E635" s="498"/>
      <x:c r="F635" s="498"/>
      <x:c r="G635" s="498"/>
      <x:c r="H635" s="498"/>
      <x:c r="I635" s="498"/>
      <x:c r="J635" s="498"/>
      <x:c r="K635" s="498"/>
      <x:c r="L635" s="498"/>
      <x:c r="M635" s="498"/>
      <x:c r="N635" s="498"/>
    </x:row>
    <x:row r="636" ht="18" customHeight="1">
      <x:c r="A636" s="498"/>
      <x:c r="B636" s="498"/>
      <x:c r="C636" s="498"/>
      <x:c r="D636" s="498"/>
      <x:c r="E636" s="498"/>
      <x:c r="F636" s="498"/>
      <x:c r="G636" s="498"/>
      <x:c r="H636" s="498"/>
      <x:c r="I636" s="498"/>
      <x:c r="J636" s="498"/>
      <x:c r="K636" s="498"/>
      <x:c r="L636" s="498"/>
      <x:c r="M636" s="498"/>
      <x:c r="N636" s="498"/>
    </x:row>
    <x:row r="637" ht="18" customHeight="1">
      <x:c r="A637" s="498"/>
      <x:c r="B637" s="498"/>
      <x:c r="C637" s="498"/>
      <x:c r="D637" s="498"/>
      <x:c r="E637" s="498"/>
      <x:c r="F637" s="498"/>
      <x:c r="G637" s="498"/>
      <x:c r="H637" s="498"/>
      <x:c r="I637" s="498"/>
      <x:c r="J637" s="498"/>
      <x:c r="K637" s="498"/>
      <x:c r="L637" s="498"/>
      <x:c r="M637" s="498"/>
      <x:c r="N637" s="498"/>
    </x:row>
    <x:row r="638" ht="18" customHeight="1">
      <x:c r="A638" s="498"/>
      <x:c r="B638" s="498"/>
      <x:c r="C638" s="498"/>
      <x:c r="D638" s="498"/>
      <x:c r="E638" s="498"/>
      <x:c r="F638" s="498"/>
      <x:c r="G638" s="498"/>
      <x:c r="H638" s="498"/>
      <x:c r="I638" s="498"/>
      <x:c r="J638" s="498"/>
      <x:c r="K638" s="498"/>
      <x:c r="L638" s="498"/>
      <x:c r="M638" s="498"/>
      <x:c r="N638" s="498"/>
    </x:row>
    <x:row r="639" ht="18" customHeight="1">
      <x:c r="A639" s="498"/>
      <x:c r="B639" s="498"/>
      <x:c r="C639" s="498"/>
      <x:c r="D639" s="498"/>
      <x:c r="E639" s="498"/>
      <x:c r="F639" s="498"/>
      <x:c r="G639" s="498"/>
      <x:c r="H639" s="498"/>
      <x:c r="I639" s="498"/>
      <x:c r="J639" s="498"/>
      <x:c r="K639" s="498"/>
      <x:c r="L639" s="498"/>
      <x:c r="M639" s="498"/>
      <x:c r="N639" s="498"/>
    </x:row>
    <x:row r="640" ht="18" customHeight="1">
      <x:c r="A640" s="498"/>
      <x:c r="B640" s="498"/>
      <x:c r="C640" s="498"/>
      <x:c r="D640" s="498"/>
      <x:c r="E640" s="498"/>
      <x:c r="F640" s="498"/>
      <x:c r="G640" s="498"/>
      <x:c r="H640" s="498"/>
      <x:c r="I640" s="498"/>
      <x:c r="J640" s="498"/>
      <x:c r="K640" s="498"/>
      <x:c r="L640" s="498"/>
      <x:c r="M640" s="498"/>
      <x:c r="N640" s="498"/>
    </x:row>
    <x:row r="641" ht="18" customHeight="1">
      <x:c r="A641" s="498"/>
      <x:c r="B641" s="498"/>
      <x:c r="C641" s="498"/>
      <x:c r="D641" s="498"/>
      <x:c r="E641" s="498"/>
      <x:c r="F641" s="498"/>
      <x:c r="G641" s="498"/>
      <x:c r="H641" s="498"/>
      <x:c r="I641" s="498"/>
      <x:c r="J641" s="498"/>
      <x:c r="K641" s="498"/>
      <x:c r="L641" s="498"/>
      <x:c r="M641" s="498"/>
      <x:c r="N641" s="498"/>
    </x:row>
    <x:row r="642" ht="18" customHeight="1">
      <x:c r="A642" s="498"/>
      <x:c r="B642" s="498"/>
      <x:c r="C642" s="498"/>
      <x:c r="D642" s="498"/>
      <x:c r="E642" s="498"/>
      <x:c r="F642" s="498"/>
      <x:c r="G642" s="498"/>
      <x:c r="H642" s="498"/>
      <x:c r="I642" s="498"/>
      <x:c r="J642" s="498"/>
      <x:c r="K642" s="498"/>
      <x:c r="L642" s="498"/>
      <x:c r="M642" s="498"/>
      <x:c r="N642" s="498"/>
    </x:row>
    <x:row r="643" ht="18" customHeight="1">
      <x:c r="A643" s="498"/>
      <x:c r="B643" s="498"/>
      <x:c r="C643" s="498"/>
      <x:c r="D643" s="498"/>
      <x:c r="E643" s="498"/>
      <x:c r="F643" s="498"/>
      <x:c r="G643" s="498"/>
      <x:c r="H643" s="498"/>
      <x:c r="I643" s="498"/>
      <x:c r="J643" s="498"/>
      <x:c r="K643" s="498"/>
      <x:c r="L643" s="498"/>
      <x:c r="M643" s="498"/>
      <x:c r="N643" s="498"/>
    </x:row>
    <x:row r="644" ht="18" customHeight="1">
      <x:c r="A644" s="498"/>
      <x:c r="B644" s="498"/>
      <x:c r="C644" s="498"/>
      <x:c r="D644" s="498"/>
      <x:c r="E644" s="498"/>
      <x:c r="F644" s="498"/>
      <x:c r="G644" s="498"/>
      <x:c r="H644" s="498"/>
      <x:c r="I644" s="498"/>
      <x:c r="J644" s="498"/>
      <x:c r="K644" s="498"/>
      <x:c r="L644" s="498"/>
      <x:c r="M644" s="498"/>
      <x:c r="N644" s="498"/>
    </x:row>
    <x:row r="645" ht="18" customHeight="1">
      <x:c r="A645" s="498"/>
      <x:c r="B645" s="498"/>
      <x:c r="C645" s="498"/>
      <x:c r="D645" s="498"/>
      <x:c r="E645" s="498"/>
      <x:c r="F645" s="498"/>
      <x:c r="G645" s="498"/>
      <x:c r="H645" s="498"/>
      <x:c r="I645" s="498"/>
      <x:c r="J645" s="498"/>
      <x:c r="K645" s="498"/>
      <x:c r="L645" s="498"/>
      <x:c r="M645" s="498"/>
      <x:c r="N645" s="498"/>
    </x:row>
    <x:row r="646" ht="18" customHeight="1">
      <x:c r="A646" s="498"/>
      <x:c r="B646" s="498"/>
      <x:c r="C646" s="498"/>
      <x:c r="D646" s="498"/>
      <x:c r="E646" s="498"/>
      <x:c r="F646" s="498"/>
      <x:c r="G646" s="498"/>
      <x:c r="H646" s="498"/>
      <x:c r="I646" s="498"/>
      <x:c r="J646" s="498"/>
      <x:c r="K646" s="498"/>
      <x:c r="L646" s="498"/>
      <x:c r="M646" s="498"/>
      <x:c r="N646" s="498"/>
    </x:row>
    <x:row r="647" ht="18" customHeight="1">
      <x:c r="A647" s="498"/>
      <x:c r="B647" s="498"/>
      <x:c r="C647" s="498"/>
      <x:c r="D647" s="498"/>
      <x:c r="E647" s="498"/>
      <x:c r="F647" s="498"/>
      <x:c r="G647" s="498"/>
      <x:c r="H647" s="498"/>
      <x:c r="I647" s="498"/>
      <x:c r="J647" s="498"/>
      <x:c r="K647" s="498"/>
      <x:c r="L647" s="498"/>
      <x:c r="M647" s="498"/>
      <x:c r="N647" s="498"/>
    </x:row>
    <x:row r="648" ht="18" customHeight="1">
      <x:c r="A648" s="498"/>
      <x:c r="B648" s="498"/>
      <x:c r="C648" s="498"/>
      <x:c r="D648" s="498"/>
      <x:c r="E648" s="498"/>
      <x:c r="F648" s="498"/>
      <x:c r="G648" s="498"/>
      <x:c r="H648" s="498"/>
      <x:c r="I648" s="498"/>
      <x:c r="J648" s="498"/>
      <x:c r="K648" s="498"/>
      <x:c r="L648" s="498"/>
      <x:c r="M648" s="498"/>
      <x:c r="N648" s="498"/>
    </x:row>
    <x:row r="649" ht="18" customHeight="1">
      <x:c r="A649" s="498"/>
      <x:c r="B649" s="498"/>
      <x:c r="C649" s="498"/>
      <x:c r="D649" s="498"/>
      <x:c r="E649" s="498"/>
      <x:c r="F649" s="498"/>
      <x:c r="G649" s="498"/>
      <x:c r="H649" s="498"/>
      <x:c r="I649" s="498"/>
      <x:c r="J649" s="498"/>
      <x:c r="K649" s="498"/>
      <x:c r="L649" s="498"/>
      <x:c r="M649" s="498"/>
      <x:c r="N649" s="498"/>
    </x:row>
    <x:row r="650" ht="18" customHeight="1">
      <x:c r="A650" s="498"/>
      <x:c r="B650" s="498"/>
      <x:c r="C650" s="498"/>
      <x:c r="D650" s="498"/>
      <x:c r="E650" s="498"/>
      <x:c r="F650" s="498"/>
      <x:c r="G650" s="498"/>
      <x:c r="H650" s="498"/>
      <x:c r="I650" s="498"/>
      <x:c r="J650" s="498"/>
      <x:c r="K650" s="498"/>
      <x:c r="L650" s="498"/>
      <x:c r="M650" s="498"/>
      <x:c r="N650" s="498"/>
    </x:row>
    <x:row r="651" ht="18" customHeight="1">
      <x:c r="A651" s="498"/>
      <x:c r="B651" s="498"/>
      <x:c r="C651" s="498"/>
      <x:c r="D651" s="498"/>
      <x:c r="E651" s="498"/>
      <x:c r="F651" s="498"/>
      <x:c r="G651" s="498"/>
      <x:c r="H651" s="498"/>
      <x:c r="I651" s="498"/>
      <x:c r="J651" s="498"/>
      <x:c r="K651" s="498"/>
      <x:c r="L651" s="498"/>
      <x:c r="M651" s="498"/>
      <x:c r="N651" s="498"/>
    </x:row>
    <x:row r="652" ht="18" customHeight="1">
      <x:c r="A652" s="498"/>
      <x:c r="B652" s="498"/>
      <x:c r="C652" s="498"/>
      <x:c r="D652" s="498"/>
      <x:c r="E652" s="498"/>
      <x:c r="F652" s="498"/>
      <x:c r="G652" s="498"/>
      <x:c r="H652" s="498"/>
      <x:c r="I652" s="498"/>
      <x:c r="J652" s="498"/>
      <x:c r="K652" s="498"/>
      <x:c r="L652" s="498"/>
      <x:c r="M652" s="498"/>
      <x:c r="N652" s="498"/>
    </x:row>
    <x:row r="653" ht="18" customHeight="1">
      <x:c r="A653" s="498"/>
      <x:c r="B653" s="498"/>
      <x:c r="C653" s="498"/>
      <x:c r="D653" s="498"/>
      <x:c r="E653" s="498"/>
      <x:c r="F653" s="498"/>
      <x:c r="G653" s="498"/>
      <x:c r="H653" s="498"/>
      <x:c r="I653" s="498"/>
      <x:c r="J653" s="498"/>
      <x:c r="K653" s="498"/>
      <x:c r="L653" s="498"/>
      <x:c r="M653" s="498"/>
      <x:c r="N653" s="498"/>
    </x:row>
    <x:row r="654" ht="18" customHeight="1">
      <x:c r="A654" s="498"/>
      <x:c r="B654" s="498"/>
      <x:c r="C654" s="498"/>
      <x:c r="D654" s="498"/>
      <x:c r="E654" s="498"/>
      <x:c r="F654" s="498"/>
      <x:c r="G654" s="498"/>
      <x:c r="H654" s="498"/>
      <x:c r="I654" s="498"/>
      <x:c r="J654" s="498"/>
      <x:c r="K654" s="498"/>
      <x:c r="L654" s="498"/>
      <x:c r="M654" s="498"/>
      <x:c r="N654" s="498"/>
    </x:row>
    <x:row r="655" ht="18" customHeight="1">
      <x:c r="A655" s="498"/>
      <x:c r="B655" s="498"/>
      <x:c r="C655" s="498"/>
      <x:c r="D655" s="498"/>
      <x:c r="E655" s="498"/>
      <x:c r="F655" s="498"/>
      <x:c r="G655" s="498"/>
      <x:c r="H655" s="498"/>
      <x:c r="I655" s="498"/>
      <x:c r="J655" s="498"/>
      <x:c r="K655" s="498"/>
      <x:c r="L655" s="498"/>
      <x:c r="M655" s="498"/>
      <x:c r="N655" s="498"/>
    </x:row>
    <x:row r="656" ht="18" customHeight="1">
      <x:c r="A656" s="498"/>
      <x:c r="B656" s="498"/>
      <x:c r="C656" s="498"/>
      <x:c r="D656" s="498"/>
      <x:c r="E656" s="498"/>
      <x:c r="F656" s="498"/>
      <x:c r="G656" s="498"/>
      <x:c r="H656" s="498"/>
      <x:c r="I656" s="498"/>
      <x:c r="J656" s="498"/>
      <x:c r="K656" s="498"/>
      <x:c r="L656" s="498"/>
      <x:c r="M656" s="498"/>
      <x:c r="N656" s="498"/>
    </x:row>
    <x:row r="657" ht="18" customHeight="1">
      <x:c r="A657" s="498"/>
      <x:c r="B657" s="498"/>
      <x:c r="C657" s="498"/>
      <x:c r="D657" s="498"/>
      <x:c r="E657" s="498"/>
      <x:c r="F657" s="498"/>
      <x:c r="G657" s="498"/>
      <x:c r="H657" s="498"/>
      <x:c r="I657" s="498"/>
      <x:c r="J657" s="498"/>
      <x:c r="K657" s="498"/>
      <x:c r="L657" s="498"/>
      <x:c r="M657" s="498"/>
      <x:c r="N657" s="498"/>
    </x:row>
    <x:row r="658" ht="18" customHeight="1">
      <x:c r="A658" s="498"/>
      <x:c r="B658" s="498"/>
      <x:c r="C658" s="498"/>
      <x:c r="D658" s="498"/>
      <x:c r="E658" s="498"/>
      <x:c r="F658" s="498"/>
      <x:c r="G658" s="498"/>
      <x:c r="H658" s="498"/>
      <x:c r="I658" s="498"/>
      <x:c r="J658" s="498"/>
      <x:c r="K658" s="498"/>
      <x:c r="L658" s="498"/>
      <x:c r="M658" s="498"/>
      <x:c r="N658" s="498"/>
    </x:row>
    <x:row r="659" ht="18" customHeight="1">
      <x:c r="A659" s="498"/>
      <x:c r="B659" s="498"/>
      <x:c r="C659" s="498"/>
      <x:c r="D659" s="498"/>
      <x:c r="E659" s="498"/>
      <x:c r="F659" s="498"/>
      <x:c r="G659" s="498"/>
      <x:c r="H659" s="498"/>
      <x:c r="I659" s="498"/>
      <x:c r="J659" s="498"/>
      <x:c r="K659" s="498"/>
      <x:c r="L659" s="498"/>
      <x:c r="M659" s="498"/>
      <x:c r="N659" s="498"/>
    </x:row>
    <x:row r="660" ht="18" customHeight="1">
      <x:c r="A660" s="498"/>
      <x:c r="B660" s="498"/>
      <x:c r="C660" s="498"/>
      <x:c r="D660" s="498"/>
      <x:c r="E660" s="498"/>
      <x:c r="F660" s="498"/>
      <x:c r="G660" s="498"/>
      <x:c r="H660" s="498"/>
      <x:c r="I660" s="498"/>
      <x:c r="J660" s="498"/>
      <x:c r="K660" s="498"/>
      <x:c r="L660" s="498"/>
      <x:c r="M660" s="498"/>
      <x:c r="N660" s="498"/>
    </x:row>
    <x:row r="661" ht="18" customHeight="1">
      <x:c r="A661" s="498"/>
      <x:c r="B661" s="498"/>
      <x:c r="C661" s="498"/>
      <x:c r="D661" s="498"/>
      <x:c r="E661" s="498"/>
      <x:c r="F661" s="498"/>
      <x:c r="G661" s="498"/>
      <x:c r="H661" s="498"/>
      <x:c r="I661" s="498"/>
      <x:c r="J661" s="498"/>
      <x:c r="K661" s="498"/>
      <x:c r="L661" s="498"/>
      <x:c r="M661" s="498"/>
      <x:c r="N661" s="498"/>
    </x:row>
    <x:row r="662" ht="18" customHeight="1">
      <x:c r="A662" s="498"/>
      <x:c r="B662" s="498"/>
      <x:c r="C662" s="498"/>
      <x:c r="D662" s="498"/>
      <x:c r="E662" s="498"/>
      <x:c r="F662" s="498"/>
      <x:c r="G662" s="498"/>
      <x:c r="H662" s="498"/>
      <x:c r="I662" s="498"/>
      <x:c r="J662" s="498"/>
      <x:c r="K662" s="498"/>
      <x:c r="L662" s="498"/>
      <x:c r="M662" s="498"/>
      <x:c r="N662" s="498"/>
    </x:row>
    <x:row r="663" ht="18" customHeight="1">
      <x:c r="A663" s="498"/>
      <x:c r="B663" s="498"/>
      <x:c r="C663" s="498"/>
      <x:c r="D663" s="498"/>
      <x:c r="E663" s="498"/>
      <x:c r="F663" s="498"/>
      <x:c r="G663" s="498"/>
      <x:c r="H663" s="498"/>
      <x:c r="I663" s="498"/>
      <x:c r="J663" s="498"/>
      <x:c r="K663" s="498"/>
      <x:c r="L663" s="498"/>
      <x:c r="M663" s="498"/>
      <x:c r="N663" s="498"/>
    </x:row>
    <x:row r="664" ht="18" customHeight="1">
      <x:c r="A664" s="498"/>
      <x:c r="B664" s="498"/>
      <x:c r="C664" s="498"/>
      <x:c r="D664" s="498"/>
      <x:c r="E664" s="498"/>
      <x:c r="F664" s="498"/>
      <x:c r="G664" s="498"/>
      <x:c r="H664" s="498"/>
      <x:c r="I664" s="498"/>
      <x:c r="J664" s="498"/>
      <x:c r="K664" s="498"/>
      <x:c r="L664" s="498"/>
      <x:c r="M664" s="498"/>
      <x:c r="N664" s="498"/>
    </x:row>
    <x:row r="665" ht="18" customHeight="1">
      <x:c r="A665" s="498"/>
      <x:c r="B665" s="498"/>
      <x:c r="C665" s="498"/>
      <x:c r="D665" s="498"/>
      <x:c r="E665" s="498"/>
      <x:c r="F665" s="498"/>
      <x:c r="G665" s="498"/>
      <x:c r="H665" s="498"/>
      <x:c r="I665" s="498"/>
      <x:c r="J665" s="498"/>
      <x:c r="K665" s="498"/>
      <x:c r="L665" s="498"/>
      <x:c r="M665" s="498"/>
      <x:c r="N665" s="498"/>
    </x:row>
    <x:row r="666" ht="18" customHeight="1">
      <x:c r="A666" s="498"/>
      <x:c r="B666" s="498"/>
      <x:c r="C666" s="498"/>
      <x:c r="D666" s="498"/>
      <x:c r="E666" s="498"/>
      <x:c r="F666" s="498"/>
      <x:c r="G666" s="498"/>
      <x:c r="H666" s="498"/>
      <x:c r="I666" s="498"/>
      <x:c r="J666" s="498"/>
      <x:c r="K666" s="498"/>
      <x:c r="L666" s="498"/>
      <x:c r="M666" s="498"/>
      <x:c r="N666" s="498"/>
    </x:row>
    <x:row r="667" ht="18" customHeight="1">
      <x:c r="A667" s="498"/>
      <x:c r="B667" s="498"/>
      <x:c r="C667" s="498"/>
      <x:c r="D667" s="498"/>
      <x:c r="E667" s="498"/>
      <x:c r="F667" s="498"/>
      <x:c r="G667" s="498"/>
      <x:c r="H667" s="498"/>
      <x:c r="I667" s="498"/>
      <x:c r="J667" s="498"/>
      <x:c r="K667" s="498"/>
      <x:c r="L667" s="498"/>
      <x:c r="M667" s="498"/>
      <x:c r="N667" s="498"/>
    </x:row>
    <x:row r="668" ht="18" customHeight="1">
      <x:c r="A668" s="498"/>
      <x:c r="B668" s="498"/>
      <x:c r="C668" s="498"/>
      <x:c r="D668" s="498"/>
      <x:c r="E668" s="498"/>
      <x:c r="F668" s="498"/>
      <x:c r="G668" s="498"/>
      <x:c r="H668" s="498"/>
      <x:c r="I668" s="498"/>
      <x:c r="J668" s="498"/>
      <x:c r="K668" s="498"/>
      <x:c r="L668" s="498"/>
      <x:c r="M668" s="498"/>
      <x:c r="N668" s="498"/>
    </x:row>
    <x:row r="669" ht="18" customHeight="1">
      <x:c r="A669" s="498"/>
      <x:c r="B669" s="498"/>
      <x:c r="C669" s="498"/>
      <x:c r="D669" s="498"/>
      <x:c r="E669" s="498"/>
      <x:c r="F669" s="498"/>
      <x:c r="G669" s="498"/>
      <x:c r="H669" s="498"/>
      <x:c r="I669" s="498"/>
      <x:c r="J669" s="498"/>
      <x:c r="K669" s="498"/>
      <x:c r="L669" s="498"/>
      <x:c r="M669" s="498"/>
      <x:c r="N669" s="498"/>
    </x:row>
    <x:row r="670" ht="18" customHeight="1">
      <x:c r="A670" s="498"/>
      <x:c r="B670" s="498"/>
      <x:c r="C670" s="498"/>
      <x:c r="D670" s="498"/>
      <x:c r="E670" s="498"/>
      <x:c r="F670" s="498"/>
      <x:c r="G670" s="498"/>
      <x:c r="H670" s="498"/>
      <x:c r="I670" s="498"/>
      <x:c r="J670" s="498"/>
      <x:c r="K670" s="498"/>
      <x:c r="L670" s="498"/>
      <x:c r="M670" s="498"/>
      <x:c r="N670" s="498"/>
    </x:row>
    <x:row r="671" ht="18" customHeight="1">
      <x:c r="A671" s="498"/>
      <x:c r="B671" s="498"/>
      <x:c r="C671" s="498"/>
      <x:c r="D671" s="498"/>
      <x:c r="E671" s="498"/>
      <x:c r="F671" s="498"/>
      <x:c r="G671" s="498"/>
      <x:c r="H671" s="498"/>
      <x:c r="I671" s="498"/>
      <x:c r="J671" s="498"/>
      <x:c r="K671" s="498"/>
      <x:c r="L671" s="498"/>
      <x:c r="M671" s="498"/>
      <x:c r="N671" s="498"/>
    </x:row>
    <x:row r="672" ht="18" customHeight="1">
      <x:c r="A672" s="498"/>
      <x:c r="B672" s="498"/>
      <x:c r="C672" s="498"/>
      <x:c r="D672" s="498"/>
      <x:c r="E672" s="498"/>
      <x:c r="F672" s="498"/>
      <x:c r="G672" s="498"/>
      <x:c r="H672" s="498"/>
      <x:c r="I672" s="498"/>
      <x:c r="J672" s="498"/>
      <x:c r="K672" s="498"/>
      <x:c r="L672" s="498"/>
      <x:c r="M672" s="498"/>
      <x:c r="N672" s="498"/>
    </x:row>
    <x:row r="673" ht="18" customHeight="1">
      <x:c r="A673" s="498"/>
      <x:c r="B673" s="498"/>
      <x:c r="C673" s="498"/>
      <x:c r="D673" s="498"/>
      <x:c r="E673" s="498"/>
      <x:c r="F673" s="498"/>
      <x:c r="G673" s="498"/>
      <x:c r="H673" s="498"/>
      <x:c r="I673" s="498"/>
      <x:c r="J673" s="498"/>
      <x:c r="K673" s="498"/>
      <x:c r="L673" s="498"/>
      <x:c r="M673" s="498"/>
      <x:c r="N673" s="498"/>
    </x:row>
    <x:row r="674" ht="18" customHeight="1">
      <x:c r="A674" s="498"/>
      <x:c r="B674" s="498"/>
      <x:c r="C674" s="498"/>
      <x:c r="D674" s="498"/>
      <x:c r="E674" s="498"/>
      <x:c r="F674" s="498"/>
      <x:c r="G674" s="498"/>
      <x:c r="H674" s="498"/>
      <x:c r="I674" s="498"/>
      <x:c r="J674" s="498"/>
      <x:c r="K674" s="498"/>
      <x:c r="L674" s="498"/>
      <x:c r="M674" s="498"/>
      <x:c r="N674" s="498"/>
    </x:row>
    <x:row r="675" ht="18" customHeight="1">
      <x:c r="A675" s="498"/>
      <x:c r="B675" s="498"/>
      <x:c r="C675" s="498"/>
      <x:c r="D675" s="498"/>
      <x:c r="E675" s="498"/>
      <x:c r="F675" s="498"/>
      <x:c r="G675" s="498"/>
      <x:c r="H675" s="498"/>
      <x:c r="I675" s="498"/>
      <x:c r="J675" s="498"/>
      <x:c r="K675" s="498"/>
      <x:c r="L675" s="498"/>
      <x:c r="M675" s="498"/>
      <x:c r="N675" s="498"/>
    </x:row>
    <x:row r="676" ht="18" customHeight="1">
      <x:c r="A676" s="498"/>
      <x:c r="B676" s="498"/>
      <x:c r="C676" s="498"/>
      <x:c r="D676" s="498"/>
      <x:c r="E676" s="498"/>
      <x:c r="F676" s="498"/>
      <x:c r="G676" s="498"/>
      <x:c r="H676" s="498"/>
      <x:c r="I676" s="498"/>
      <x:c r="J676" s="498"/>
      <x:c r="K676" s="498"/>
      <x:c r="L676" s="498"/>
      <x:c r="M676" s="498"/>
      <x:c r="N676" s="498"/>
    </x:row>
    <x:row r="677" ht="18" customHeight="1">
      <x:c r="A677" s="498"/>
      <x:c r="B677" s="498"/>
      <x:c r="C677" s="498"/>
      <x:c r="D677" s="498"/>
      <x:c r="E677" s="498"/>
      <x:c r="F677" s="498"/>
      <x:c r="G677" s="498"/>
      <x:c r="H677" s="498"/>
      <x:c r="I677" s="498"/>
      <x:c r="J677" s="498"/>
      <x:c r="K677" s="498"/>
      <x:c r="L677" s="498"/>
      <x:c r="M677" s="498"/>
      <x:c r="N677" s="498"/>
    </x:row>
    <x:row r="678" ht="18" customHeight="1">
      <x:c r="A678" s="498"/>
      <x:c r="B678" s="498"/>
      <x:c r="C678" s="498"/>
      <x:c r="D678" s="498"/>
      <x:c r="E678" s="498"/>
      <x:c r="F678" s="498"/>
      <x:c r="G678" s="498"/>
      <x:c r="H678" s="498"/>
      <x:c r="I678" s="498"/>
      <x:c r="J678" s="498"/>
      <x:c r="K678" s="498"/>
      <x:c r="L678" s="498"/>
      <x:c r="M678" s="498"/>
      <x:c r="N678" s="498"/>
    </x:row>
    <x:row r="679" ht="18" customHeight="1">
      <x:c r="A679" s="498"/>
      <x:c r="B679" s="498"/>
      <x:c r="C679" s="498"/>
      <x:c r="D679" s="498"/>
      <x:c r="E679" s="498"/>
      <x:c r="F679" s="498"/>
      <x:c r="G679" s="498"/>
      <x:c r="H679" s="498"/>
      <x:c r="I679" s="498"/>
      <x:c r="J679" s="498"/>
      <x:c r="K679" s="498"/>
      <x:c r="L679" s="498"/>
      <x:c r="M679" s="498"/>
      <x:c r="N679" s="498"/>
    </x:row>
    <x:row r="680" ht="18" customHeight="1">
      <x:c r="A680" s="498"/>
      <x:c r="B680" s="498"/>
      <x:c r="C680" s="498"/>
      <x:c r="D680" s="498"/>
      <x:c r="E680" s="498"/>
      <x:c r="F680" s="498"/>
      <x:c r="G680" s="498"/>
      <x:c r="H680" s="498"/>
      <x:c r="I680" s="498"/>
      <x:c r="J680" s="498"/>
      <x:c r="K680" s="498"/>
      <x:c r="L680" s="498"/>
      <x:c r="M680" s="498"/>
      <x:c r="N680" s="498"/>
    </x:row>
    <x:row r="681" ht="18" customHeight="1">
      <x:c r="A681" s="498"/>
      <x:c r="B681" s="498"/>
      <x:c r="C681" s="498"/>
      <x:c r="D681" s="498"/>
      <x:c r="E681" s="498"/>
      <x:c r="F681" s="498"/>
      <x:c r="G681" s="498"/>
      <x:c r="H681" s="498"/>
      <x:c r="I681" s="498"/>
      <x:c r="J681" s="498"/>
      <x:c r="K681" s="498"/>
      <x:c r="L681" s="498"/>
      <x:c r="M681" s="498"/>
      <x:c r="N681" s="498"/>
    </x:row>
    <x:row r="682" ht="18" customHeight="1">
      <x:c r="A682" s="498"/>
      <x:c r="B682" s="498"/>
      <x:c r="C682" s="498"/>
      <x:c r="D682" s="498"/>
      <x:c r="E682" s="498"/>
      <x:c r="F682" s="498"/>
      <x:c r="G682" s="498"/>
      <x:c r="H682" s="498"/>
      <x:c r="I682" s="498"/>
      <x:c r="J682" s="498"/>
      <x:c r="K682" s="498"/>
      <x:c r="L682" s="498"/>
      <x:c r="M682" s="498"/>
      <x:c r="N682" s="498"/>
    </x:row>
    <x:row r="683" ht="18" customHeight="1">
      <x:c r="A683" s="498"/>
      <x:c r="B683" s="498"/>
      <x:c r="C683" s="498"/>
      <x:c r="D683" s="498"/>
      <x:c r="E683" s="498"/>
      <x:c r="F683" s="498"/>
      <x:c r="G683" s="498"/>
      <x:c r="H683" s="498"/>
      <x:c r="I683" s="498"/>
      <x:c r="J683" s="498"/>
      <x:c r="K683" s="498"/>
      <x:c r="L683" s="498"/>
      <x:c r="M683" s="498"/>
      <x:c r="N683" s="498"/>
    </x:row>
    <x:row r="684" ht="18" customHeight="1">
      <x:c r="A684" s="498"/>
      <x:c r="B684" s="498"/>
      <x:c r="C684" s="498"/>
      <x:c r="D684" s="498"/>
      <x:c r="E684" s="498"/>
      <x:c r="F684" s="498"/>
      <x:c r="G684" s="498"/>
      <x:c r="H684" s="498"/>
      <x:c r="I684" s="498"/>
      <x:c r="J684" s="498"/>
      <x:c r="K684" s="498"/>
      <x:c r="L684" s="498"/>
      <x:c r="M684" s="498"/>
      <x:c r="N684" s="498"/>
    </x:row>
    <x:row r="685" ht="18" customHeight="1">
      <x:c r="A685" s="498"/>
      <x:c r="B685" s="498"/>
      <x:c r="C685" s="498"/>
      <x:c r="D685" s="498"/>
      <x:c r="E685" s="498"/>
      <x:c r="F685" s="498"/>
      <x:c r="G685" s="498"/>
      <x:c r="H685" s="498"/>
      <x:c r="I685" s="498"/>
      <x:c r="J685" s="498"/>
      <x:c r="K685" s="498"/>
      <x:c r="L685" s="498"/>
      <x:c r="M685" s="498"/>
      <x:c r="N685" s="498"/>
    </x:row>
    <x:row r="686" ht="18" customHeight="1">
      <x:c r="A686" s="498"/>
      <x:c r="B686" s="498"/>
      <x:c r="C686" s="498"/>
      <x:c r="D686" s="498"/>
      <x:c r="E686" s="498"/>
      <x:c r="F686" s="498"/>
      <x:c r="G686" s="498"/>
      <x:c r="H686" s="498"/>
      <x:c r="I686" s="498"/>
      <x:c r="J686" s="498"/>
      <x:c r="K686" s="498"/>
      <x:c r="L686" s="498"/>
      <x:c r="M686" s="498"/>
      <x:c r="N686" s="498"/>
    </x:row>
    <x:row r="687" ht="18" customHeight="1">
      <x:c r="A687" s="498"/>
      <x:c r="B687" s="498"/>
      <x:c r="C687" s="498"/>
      <x:c r="D687" s="498"/>
      <x:c r="E687" s="498"/>
      <x:c r="F687" s="498"/>
      <x:c r="G687" s="498"/>
      <x:c r="H687" s="498"/>
      <x:c r="I687" s="498"/>
      <x:c r="J687" s="498"/>
      <x:c r="K687" s="498"/>
      <x:c r="L687" s="498"/>
      <x:c r="M687" s="498"/>
      <x:c r="N687" s="498"/>
    </x:row>
    <x:row r="688" ht="18" customHeight="1">
      <x:c r="A688" s="498"/>
      <x:c r="B688" s="498"/>
      <x:c r="C688" s="498"/>
      <x:c r="D688" s="498"/>
      <x:c r="E688" s="498"/>
      <x:c r="F688" s="498"/>
      <x:c r="G688" s="498"/>
      <x:c r="H688" s="498"/>
      <x:c r="I688" s="498"/>
      <x:c r="J688" s="498"/>
      <x:c r="K688" s="498"/>
      <x:c r="L688" s="498"/>
      <x:c r="M688" s="498"/>
      <x:c r="N688" s="498"/>
    </x:row>
    <x:row r="689" ht="18" customHeight="1">
      <x:c r="A689" s="498"/>
      <x:c r="B689" s="498"/>
      <x:c r="C689" s="498"/>
      <x:c r="D689" s="498"/>
      <x:c r="E689" s="498"/>
      <x:c r="F689" s="498"/>
      <x:c r="G689" s="498"/>
      <x:c r="H689" s="498"/>
      <x:c r="I689" s="498"/>
      <x:c r="J689" s="498"/>
      <x:c r="K689" s="498"/>
      <x:c r="L689" s="498"/>
      <x:c r="M689" s="498"/>
      <x:c r="N689" s="498"/>
    </x:row>
    <x:row r="690" ht="18" customHeight="1">
      <x:c r="A690" s="498"/>
      <x:c r="B690" s="498"/>
      <x:c r="C690" s="498"/>
      <x:c r="D690" s="498"/>
      <x:c r="E690" s="498"/>
      <x:c r="F690" s="498"/>
      <x:c r="G690" s="498"/>
      <x:c r="H690" s="498"/>
      <x:c r="I690" s="498"/>
      <x:c r="J690" s="498"/>
      <x:c r="K690" s="498"/>
      <x:c r="L690" s="498"/>
      <x:c r="M690" s="498"/>
      <x:c r="N690" s="498"/>
    </x:row>
    <x:row r="691" ht="18" customHeight="1">
      <x:c r="A691" s="498"/>
      <x:c r="B691" s="498"/>
      <x:c r="C691" s="498"/>
      <x:c r="D691" s="498"/>
      <x:c r="E691" s="498"/>
      <x:c r="F691" s="498"/>
      <x:c r="G691" s="498"/>
      <x:c r="H691" s="498"/>
      <x:c r="I691" s="498"/>
      <x:c r="J691" s="498"/>
      <x:c r="K691" s="498"/>
      <x:c r="L691" s="498"/>
      <x:c r="M691" s="498"/>
      <x:c r="N691" s="498"/>
    </x:row>
    <x:row r="692" ht="18" customHeight="1">
      <x:c r="A692" s="498"/>
      <x:c r="B692" s="498"/>
      <x:c r="C692" s="498"/>
      <x:c r="D692" s="498"/>
      <x:c r="E692" s="498"/>
      <x:c r="F692" s="498"/>
      <x:c r="G692" s="498"/>
      <x:c r="H692" s="498"/>
      <x:c r="I692" s="498"/>
      <x:c r="J692" s="498"/>
      <x:c r="K692" s="498"/>
      <x:c r="L692" s="498"/>
      <x:c r="M692" s="498"/>
      <x:c r="N692" s="498"/>
    </x:row>
    <x:row r="693" ht="18" customHeight="1">
      <x:c r="A693" s="498"/>
      <x:c r="B693" s="498"/>
      <x:c r="C693" s="498"/>
      <x:c r="D693" s="498"/>
      <x:c r="E693" s="498"/>
      <x:c r="F693" s="498"/>
      <x:c r="G693" s="498"/>
      <x:c r="H693" s="498"/>
      <x:c r="I693" s="498"/>
      <x:c r="J693" s="498"/>
      <x:c r="K693" s="498"/>
      <x:c r="L693" s="498"/>
      <x:c r="M693" s="498"/>
      <x:c r="N693" s="498"/>
    </x:row>
    <x:row r="694" ht="18" customHeight="1">
      <x:c r="A694" s="498"/>
      <x:c r="B694" s="498"/>
      <x:c r="C694" s="498"/>
      <x:c r="D694" s="498"/>
      <x:c r="E694" s="498"/>
      <x:c r="F694" s="498"/>
      <x:c r="G694" s="498"/>
      <x:c r="H694" s="498"/>
      <x:c r="I694" s="498"/>
      <x:c r="J694" s="498"/>
      <x:c r="K694" s="498"/>
      <x:c r="L694" s="498"/>
      <x:c r="M694" s="498"/>
      <x:c r="N694" s="498"/>
    </x:row>
    <x:row r="695" ht="18" customHeight="1">
      <x:c r="A695" s="498"/>
      <x:c r="B695" s="498"/>
      <x:c r="C695" s="498"/>
      <x:c r="D695" s="498"/>
      <x:c r="E695" s="498"/>
      <x:c r="F695" s="498"/>
      <x:c r="G695" s="498"/>
      <x:c r="H695" s="498"/>
      <x:c r="I695" s="498"/>
      <x:c r="J695" s="498"/>
      <x:c r="K695" s="498"/>
      <x:c r="L695" s="498"/>
      <x:c r="M695" s="498"/>
      <x:c r="N695" s="498"/>
    </x:row>
    <x:row r="696" ht="18" customHeight="1">
      <x:c r="A696" s="498"/>
      <x:c r="B696" s="498"/>
      <x:c r="C696" s="498"/>
      <x:c r="D696" s="498"/>
      <x:c r="E696" s="498"/>
      <x:c r="F696" s="498"/>
      <x:c r="G696" s="498"/>
      <x:c r="H696" s="498"/>
      <x:c r="I696" s="498"/>
      <x:c r="J696" s="498"/>
      <x:c r="K696" s="498"/>
      <x:c r="L696" s="498"/>
      <x:c r="M696" s="498"/>
      <x:c r="N696" s="498"/>
    </x:row>
    <x:row r="697" ht="18" customHeight="1">
      <x:c r="A697" s="498"/>
      <x:c r="B697" s="498"/>
      <x:c r="C697" s="498"/>
      <x:c r="D697" s="498"/>
      <x:c r="E697" s="498"/>
      <x:c r="F697" s="498"/>
      <x:c r="G697" s="498"/>
      <x:c r="H697" s="498"/>
      <x:c r="I697" s="498"/>
      <x:c r="J697" s="498"/>
      <x:c r="K697" s="498"/>
      <x:c r="L697" s="498"/>
      <x:c r="M697" s="498"/>
      <x:c r="N697" s="498"/>
    </x:row>
    <x:row r="698" ht="18" customHeight="1">
      <x:c r="A698" s="498"/>
      <x:c r="B698" s="498"/>
      <x:c r="C698" s="498"/>
      <x:c r="D698" s="498"/>
      <x:c r="E698" s="498"/>
      <x:c r="F698" s="498"/>
      <x:c r="G698" s="498"/>
      <x:c r="H698" s="498"/>
      <x:c r="I698" s="498"/>
      <x:c r="J698" s="498"/>
      <x:c r="K698" s="498"/>
      <x:c r="L698" s="498"/>
      <x:c r="M698" s="498"/>
      <x:c r="N698" s="498"/>
    </x:row>
    <x:row r="699" ht="18" customHeight="1">
      <x:c r="A699" s="498"/>
      <x:c r="B699" s="498"/>
      <x:c r="C699" s="498"/>
      <x:c r="D699" s="498"/>
      <x:c r="E699" s="498"/>
      <x:c r="F699" s="498"/>
      <x:c r="G699" s="498"/>
      <x:c r="H699" s="498"/>
      <x:c r="I699" s="498"/>
      <x:c r="J699" s="498"/>
      <x:c r="K699" s="498"/>
      <x:c r="L699" s="498"/>
      <x:c r="M699" s="498"/>
      <x:c r="N699" s="498"/>
    </x:row>
    <x:row r="700" ht="18" customHeight="1">
      <x:c r="A700" s="498"/>
      <x:c r="B700" s="498"/>
      <x:c r="C700" s="498"/>
      <x:c r="D700" s="498"/>
      <x:c r="E700" s="498"/>
      <x:c r="F700" s="498"/>
      <x:c r="G700" s="498"/>
      <x:c r="H700" s="498"/>
      <x:c r="I700" s="498"/>
      <x:c r="J700" s="498"/>
      <x:c r="K700" s="498"/>
      <x:c r="L700" s="498"/>
      <x:c r="M700" s="498"/>
      <x:c r="N700" s="498"/>
    </x:row>
  </x:sheetData>
  <x:mergeCells>
    <x:mergeCell ref="B2:N3"/>
    <x:mergeCell ref="B5:N7"/>
    <x:mergeCell ref="B9:N10"/>
    <x:mergeCell ref="B11:N11"/>
    <x:mergeCell ref="I13:N16"/>
    <x:mergeCell ref="I18:N20"/>
    <x:mergeCell ref="B28:N29"/>
    <x:mergeCell ref="B30:N30"/>
    <x:mergeCell ref="I32:N34"/>
    <x:mergeCell ref="I36:N38"/>
    <x:mergeCell ref="I40:N43"/>
    <x:mergeCell ref="B47:N48"/>
    <x:mergeCell ref="B49:N49"/>
    <x:mergeCell ref="I51:N55"/>
    <x:mergeCell ref="I57:N61"/>
    <x:mergeCell ref="I63:N66"/>
    <x:mergeCell ref="I68:N71"/>
    <x:mergeCell ref="I73:N77"/>
    <x:mergeCell ref="B81:N82"/>
    <x:mergeCell ref="B83:N83"/>
    <x:mergeCell ref="I85:N88"/>
    <x:mergeCell ref="I90:N93"/>
    <x:mergeCell ref="I95:N99"/>
    <x:mergeCell ref="I101:N106"/>
    <x:mergeCell ref="I108:N111"/>
    <x:mergeCell ref="B115:N116"/>
    <x:mergeCell ref="B117:N117"/>
    <x:mergeCell ref="I119:N122"/>
    <x:mergeCell ref="I124:N127"/>
    <x:mergeCell ref="I129:N132"/>
    <x:mergeCell ref="I134:N139"/>
    <x:mergeCell ref="I141:N144"/>
    <x:mergeCell ref="B148:N149"/>
    <x:mergeCell ref="B150:N150"/>
    <x:mergeCell ref="I152:N155"/>
    <x:mergeCell ref="I157:N160"/>
    <x:mergeCell ref="I162:N165"/>
    <x:mergeCell ref="I167:N172"/>
    <x:mergeCell ref="I174:N176"/>
    <x:mergeCell ref="B180:N181"/>
    <x:mergeCell ref="B182:N182"/>
    <x:mergeCell ref="I184:N186"/>
    <x:mergeCell ref="I188:N191"/>
    <x:mergeCell ref="B196:N197"/>
    <x:mergeCell ref="B198:N198"/>
    <x:mergeCell ref="I200:N202"/>
    <x:mergeCell ref="I204:N208"/>
    <x:mergeCell ref="B212:N213"/>
    <x:mergeCell ref="B214:N214"/>
    <x:mergeCell ref="I216:N219"/>
    <x:mergeCell ref="I221:N224"/>
    <x:mergeCell ref="B237:N238"/>
    <x:mergeCell ref="B239:N239"/>
    <x:mergeCell ref="I241:N243"/>
    <x:mergeCell ref="I245:N248"/>
    <x:mergeCell ref="B254:N255"/>
    <x:mergeCell ref="B256:N256"/>
    <x:mergeCell ref="I258:N260"/>
    <x:mergeCell ref="I262:N265"/>
    <x:mergeCell ref="B273:N274"/>
    <x:mergeCell ref="B275:N275"/>
    <x:mergeCell ref="I277:N279"/>
    <x:mergeCell ref="I281:N285"/>
    <x:mergeCell ref="I287:N294"/>
    <x:mergeCell ref="B298:N299"/>
    <x:mergeCell ref="B300:N300"/>
    <x:mergeCell ref="I302:N305"/>
    <x:mergeCell ref="I307:N310"/>
    <x:mergeCell ref="I312:N315"/>
    <x:mergeCell ref="B319:N320"/>
    <x:mergeCell ref="B321:N321"/>
    <x:mergeCell ref="I323:N325"/>
    <x:mergeCell ref="I327:N330"/>
  </x:mergeCells>
  <x:printOptions horizontalCentered="1"/>
  <x:pageMargins left="0.3" right="0.3" top="0.35" bottom="0.35" header="0.15" footer="0.15"/>
  <x:pageSetup paperSize="9" orientation="landscape" fitToWidth="1" fitToHeight="0"/>
  <x:rowBreaks count="13" manualBreakCount="13">
    <x:brk id="27" min="0" max="16383" man="1"/>
    <x:brk id="46" min="0" max="16383" man="1"/>
    <x:brk id="80" min="0" max="16383" man="1"/>
    <x:brk id="114" min="0" max="16383" man="1"/>
    <x:brk id="147" min="0" max="16383" man="1"/>
    <x:brk id="179" min="0" max="16383" man="1"/>
    <x:brk id="195" min="0" max="16383" man="1"/>
    <x:brk id="211" min="0" max="16383" man="1"/>
    <x:brk id="236" min="0" max="16383" man="1"/>
    <x:brk id="253" min="0" max="16383" man="1"/>
    <x:brk id="272" min="0" max="16383" man="1"/>
    <x:brk id="297" min="0" max="16383" man="1"/>
    <x:brk id="318" min="0" max="16383" man="1"/>
  </x:rowBreaks>
  <x:drawing xmlns:r="http://schemas.openxmlformats.org/officeDocument/2006/relationships" r:id="R11ab22abab544b1b"/>
</x:workshee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drawing" Target="../drawings/drawing8.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drawing" Target="../drawings/drawing2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drawing" Target="../drawings/drawing24.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comments" Target="../comments5.xml"/><Relationship Id="rId5" Type="http://schemas.openxmlformats.org/officeDocument/2006/relationships/vmlDrawing" Target="../drawings/vmlDrawing5.vml"/><Relationship Id="rId4" Type="http://schemas.openxmlformats.org/officeDocument/2006/relationships/drawing" Target="../drawings/drawing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tabColor rgb="FF24594F"/>
  </sheetPr>
  <dimension ref="B1:FM155"/>
  <sheetViews>
    <sheetView topLeftCell="A1" zoomScale="90" zoomScaleNormal="90" workbookViewId="0" showGridLines="0">
      <selection activeCell="AE86" sqref="AE86"/>
    </sheetView>
  </sheetViews>
  <sheetFormatPr defaultColWidth="10.449" defaultRowHeight="16"/>
  <cols>
    <col min="2" max="2" width="2.862" customWidth="1"/>
    <col min="3" max="3" width="18.202" bestFit="1" customWidth="1"/>
    <col min="4" max="19" width="6.066" customWidth="1"/>
    <col min="20" max="22" width="6.739" bestFit="1" customWidth="1"/>
    <col min="23" max="26" width="6.066" customWidth="1"/>
    <col min="27" max="27" width="6.739" customWidth="1"/>
    <col min="28" max="29" width="6.066" customWidth="1"/>
    <col min="30" max="30" width="7.919" customWidth="1"/>
    <col min="31" max="31" width="6.066" customWidth="1"/>
    <col min="32" max="33" width="6.909" customWidth="1"/>
    <col min="34" max="34" width="9.269" customWidth="1"/>
    <col min="35" max="36" width="6.402" customWidth="1"/>
    <col min="37" max="38" width="5.222" customWidth="1"/>
    <col min="39" max="39" width="6.402" customWidth="1"/>
    <col min="40" max="40" width="5.222" customWidth="1"/>
    <col min="41" max="42" width="6.402" customWidth="1"/>
    <col min="43" max="51" width="5.222" customWidth="1"/>
    <col min="52" max="52" width="16.349" customWidth="1"/>
    <col min="53" max="53" width="8.26" customWidth="1"/>
    <col min="54" max="54" width="9.942" customWidth="1"/>
    <col min="55" max="55" width="9.942" style="36" customWidth="1"/>
    <col min="56" max="56" width="9.942" customWidth="1"/>
    <col min="57" max="57" width="10.449" customWidth="1"/>
    <col min="58" max="58" width="14.662" customWidth="1"/>
    <col min="59" max="63" width="15.169" customWidth="1"/>
    <col min="64" max="65" width="12.302" customWidth="1"/>
    <col min="67" max="67" width="12.809" customWidth="1"/>
    <col min="69" max="69" width="9.942" customWidth="1"/>
    <col min="70" max="70" width="12.809" customWidth="1"/>
    <col min="72" max="72" width="12.809" customWidth="1"/>
    <col min="75" max="75" width="12.809" customWidth="1"/>
    <col min="76" max="76" width="10.449" style="5" customWidth="1"/>
    <col min="77" max="84" width="12.809" style="5" customWidth="1"/>
    <col min="85" max="85" width="13.989" style="5" customWidth="1"/>
    <col min="86" max="90" width="12.809" style="5" customWidth="1"/>
    <col min="91" max="101" width="12.809" customWidth="1"/>
    <col min="102" max="102" width="12.302" customWidth="1"/>
    <col min="103" max="103" width="11.629" customWidth="1"/>
    <col min="106" max="106" width="17.7" customWidth="1"/>
    <col min="107" max="107" width="13.482" bestFit="1" customWidth="1"/>
    <col min="108" max="109" width="12.809" customWidth="1"/>
    <col min="110" max="116" width="15.169" customWidth="1"/>
    <col min="117" max="117" width="17.7" customWidth="1"/>
    <col min="118" max="118" width="13.482" customWidth="1"/>
    <col min="119" max="119" width="11.629" customWidth="1"/>
    <col min="120" max="120" width="15.169" style="14" customWidth="1"/>
    <col min="121" max="121" width="15.169" style="46" customWidth="1"/>
    <col min="122" max="122" width="15.169" style="14" customWidth="1"/>
    <col min="123" max="123" width="17.7" customWidth="1"/>
    <col min="124" max="124" width="13.989" customWidth="1"/>
    <col min="125" max="127" width="12.809" customWidth="1"/>
    <col min="128" max="129" width="11.629" customWidth="1"/>
    <col min="130" max="131" width="12.809" customWidth="1"/>
    <col min="132" max="133" width="11.629" customWidth="1"/>
    <col min="134" max="134" width="12.809" customWidth="1"/>
    <col min="135" max="137" width="11.629" customWidth="1"/>
    <col min="138" max="138" width="15.169" customWidth="1"/>
    <col min="139" max="140" width="11.629" customWidth="1"/>
    <col min="141" max="143" width="12.809" customWidth="1"/>
  </cols>
  <sheetData>
    <row r="1" spans="2:169" ht="16.44">
      <c r="BC1" s="374"/>
      <c r="DM1" s="356">
        <f>'Immigration de varroas'!H9</f>
        <v>0</v>
      </c>
    </row>
    <row r="2" spans="2:169" ht="16.44">
      <c r="AF2" s="393" t="s">
        <v>0</v>
      </c>
      <c r="AG2" s="393"/>
      <c r="AH2" s="393"/>
      <c r="AI2" s="393"/>
      <c r="AJ2" s="393"/>
      <c r="AK2" s="393"/>
      <c r="AL2" s="393"/>
      <c r="AM2" s="393"/>
      <c r="AN2" s="393"/>
      <c r="AO2" s="393"/>
      <c r="AP2" s="393"/>
      <c r="AQ2" s="393"/>
      <c r="AR2" s="393"/>
      <c r="AS2" s="393"/>
      <c r="AT2" s="393"/>
      <c r="AU2" s="393"/>
      <c r="AV2" s="393"/>
      <c r="AW2" s="393"/>
      <c r="AX2" s="393"/>
      <c r="AY2" s="393"/>
      <c r="BC2" s="374"/>
      <c r="BP2" s="382" t="s">
        <v>1</v>
      </c>
      <c r="BQ2" s="382"/>
      <c r="BR2" s="382"/>
      <c r="BS2" s="382"/>
      <c r="BT2" s="382"/>
      <c r="BU2" s="383" t="s">
        <v>2</v>
      </c>
      <c r="BV2" s="383"/>
      <c r="BW2" s="383"/>
      <c r="BX2" s="383"/>
      <c r="BY2" s="383"/>
      <c r="BZ2" s="383"/>
      <c r="CA2" s="383"/>
      <c r="CB2" s="383"/>
      <c r="CC2" s="383"/>
      <c r="CD2" s="383"/>
      <c r="CE2"/>
      <c r="CF2"/>
      <c r="CG2" s="78"/>
      <c r="CH2" s="94" t="s">
        <v>3</v>
      </c>
      <c r="CI2" s="78"/>
      <c r="CJ2" s="78"/>
      <c r="CK2" s="78"/>
      <c r="CL2" s="78"/>
      <c r="CM2" s="78"/>
      <c r="CN2" s="93"/>
      <c r="CO2" s="78"/>
      <c r="CP2" s="78"/>
      <c r="CQ2" s="43"/>
      <c r="CR2" s="95" t="s">
        <v>4</v>
      </c>
      <c r="CS2" s="43"/>
      <c r="CT2" s="43"/>
      <c r="CU2" s="43"/>
      <c r="CV2" s="43"/>
      <c r="CW2" s="43"/>
      <c r="CX2" s="43"/>
      <c r="CY2" s="43"/>
      <c r="CZ2" s="43"/>
      <c r="DA2" s="43"/>
      <c r="DB2" s="110" t="s">
        <v>5</v>
      </c>
      <c r="DC2" s="384" t="s">
        <v>6</v>
      </c>
      <c r="DD2" s="384"/>
      <c r="DE2" s="374"/>
      <c r="DF2" s="361" t="s">
        <v>7</v>
      </c>
      <c r="DG2" s="46"/>
      <c r="DH2" s="46"/>
      <c r="DI2" s="110" t="s">
        <v>8</v>
      </c>
      <c r="DK2" s="369" t="s">
        <v>9</v>
      </c>
      <c r="DL2" s="369" t="s">
        <v>9</v>
      </c>
      <c r="DM2" s="184" t="s">
        <v>8</v>
      </c>
      <c r="DN2" s="369" t="s">
        <v>9</v>
      </c>
      <c r="DO2" s="374"/>
      <c r="DP2" s="46"/>
      <c r="DR2" s="369" t="s">
        <v>9</v>
      </c>
      <c r="DS2" s="361" t="s">
        <v>7</v>
      </c>
      <c r="DT2" s="361"/>
      <c r="DV2" s="385" t="s">
        <v>10</v>
      </c>
      <c r="DW2" s="385"/>
      <c r="DX2" s="385"/>
      <c r="EC2" s="387" t="s">
        <v>11</v>
      </c>
      <c r="ED2" s="387"/>
      <c r="EE2" s="387"/>
      <c r="EF2" s="387"/>
      <c r="EG2" s="387"/>
      <c r="EH2" s="387"/>
      <c r="EJ2" s="388" t="s">
        <v>12</v>
      </c>
      <c r="EK2" s="388"/>
      <c r="EL2" s="388"/>
    </row>
    <row r="3" spans="2:169" s="118" customFormat="1" ht="16" customHeight="1">
      <c r="K3" s="118">
        <v>100</v>
      </c>
      <c r="L3" s="118">
        <v>50</v>
      </c>
      <c r="Q3" s="118">
        <v>50</v>
      </c>
      <c r="R3" s="118">
        <v>85</v>
      </c>
      <c r="S3" s="118" t="s">
        <v>13</v>
      </c>
      <c r="AF3" s="452"/>
      <c r="AG3" s="452"/>
      <c r="AH3" s="452"/>
      <c r="AI3" s="452"/>
      <c r="AJ3" s="452"/>
      <c r="AK3" s="204"/>
      <c r="AL3" s="204"/>
      <c r="AM3" s="204"/>
      <c r="AN3" s="204"/>
      <c r="AO3" s="204"/>
      <c r="AP3" s="204"/>
      <c r="AQ3" s="204"/>
      <c r="AR3" s="204"/>
      <c r="AS3" s="204"/>
      <c r="AT3" s="204"/>
      <c r="AU3" s="204"/>
      <c r="AV3" s="204"/>
      <c r="AW3" s="204"/>
      <c r="AX3" s="204"/>
      <c r="AY3" s="204"/>
      <c r="BC3" s="372"/>
      <c r="BF3" s="372" t="s">
        <v>14</v>
      </c>
      <c r="BN3" s="202"/>
      <c r="BO3" s="202"/>
      <c r="BP3" s="203" t="s">
        <v>15</v>
      </c>
      <c r="BQ3" s="138"/>
      <c r="BR3" s="372" t="s">
        <v>14</v>
      </c>
      <c r="BS3" s="138"/>
      <c r="BT3" s="372" t="s">
        <v>14</v>
      </c>
      <c r="BU3" s="372"/>
      <c r="BV3" s="372"/>
      <c r="BW3" s="372" t="s">
        <v>14</v>
      </c>
      <c r="BX3" s="372"/>
      <c r="BY3" s="372" t="s">
        <v>14</v>
      </c>
      <c r="BZ3" s="372" t="s">
        <v>14</v>
      </c>
      <c r="CA3" s="372"/>
      <c r="CB3" s="372"/>
      <c r="CC3" s="372"/>
      <c r="CD3" s="372" t="s">
        <v>14</v>
      </c>
      <c r="CE3" s="138"/>
      <c r="CF3" s="372" t="s">
        <v>14</v>
      </c>
      <c r="CG3" s="372"/>
      <c r="CH3" s="372"/>
      <c r="CI3" s="372"/>
      <c r="CJ3" s="372"/>
      <c r="CK3" s="372" t="s">
        <v>16</v>
      </c>
      <c r="CL3" s="118" t="s">
        <v>16</v>
      </c>
      <c r="CM3" s="372" t="s">
        <v>14</v>
      </c>
      <c r="CN3" s="372" t="s">
        <v>14</v>
      </c>
      <c r="CO3" s="372"/>
      <c r="CP3" s="372"/>
      <c r="CQ3" s="372"/>
      <c r="CR3" s="372"/>
      <c r="CS3" s="372"/>
      <c r="CT3" s="372"/>
      <c r="CU3" s="372" t="s">
        <v>16</v>
      </c>
      <c r="CV3" s="118" t="s">
        <v>16</v>
      </c>
      <c r="CW3" s="372"/>
      <c r="CX3" s="372"/>
      <c r="CY3" s="372" t="s">
        <v>14</v>
      </c>
      <c r="CZ3" s="372"/>
      <c r="DA3" s="372"/>
      <c r="DB3" s="372" t="s">
        <v>14</v>
      </c>
      <c r="DC3" s="372" t="s">
        <v>14</v>
      </c>
      <c r="DD3" s="118" t="s">
        <v>14</v>
      </c>
      <c r="DE3" s="372"/>
      <c r="DF3" s="372"/>
      <c r="DG3" s="200" t="s">
        <v>14</v>
      </c>
      <c r="DH3" s="201" t="s">
        <v>14</v>
      </c>
      <c r="DI3" s="372" t="s">
        <v>14</v>
      </c>
      <c r="DL3" s="372" t="s">
        <v>14</v>
      </c>
      <c r="DM3" s="138" t="s">
        <v>14</v>
      </c>
      <c r="DN3" s="194" t="s">
        <v>14</v>
      </c>
      <c r="DO3" s="372"/>
      <c r="DP3" s="372"/>
      <c r="DQ3" s="372"/>
      <c r="DR3" s="372" t="s">
        <v>14</v>
      </c>
      <c r="DS3" s="372"/>
      <c r="DT3" s="372"/>
      <c r="DU3" s="372"/>
      <c r="DV3" s="385"/>
      <c r="DW3" s="385"/>
      <c r="DX3" s="385"/>
      <c r="DY3" s="389" t="s">
        <v>14</v>
      </c>
      <c r="DZ3" s="389"/>
      <c r="EA3" s="371"/>
      <c r="EB3" s="371"/>
      <c r="EC3" s="390" t="s">
        <v>14</v>
      </c>
      <c r="ED3" s="391"/>
      <c r="EE3" s="391"/>
      <c r="EF3" s="372"/>
      <c r="EG3" s="372" t="s">
        <v>14</v>
      </c>
      <c r="EH3" s="372" t="s">
        <v>14</v>
      </c>
      <c r="EI3" s="372"/>
      <c r="EK3" s="118" t="s">
        <v>14</v>
      </c>
      <c r="EL3" s="372" t="s">
        <v>14</v>
      </c>
    </row>
    <row r="4" spans="2:169" ht="111.56" customHeight="1">
      <c r="B4" s="283"/>
      <c r="AF4" s="300"/>
      <c r="AG4" s="281"/>
      <c r="AM4" s="190"/>
      <c r="AN4" s="190"/>
      <c r="AO4" s="190"/>
      <c r="AU4" s="190"/>
      <c r="AV4" s="190"/>
      <c r="AW4" s="190"/>
      <c r="AX4" s="190"/>
      <c r="BA4" s="367" t="s">
        <v>17</v>
      </c>
      <c r="BB4" s="1" t="s">
        <v>18</v>
      </c>
      <c r="BC4" s="367" t="s">
        <v>19</v>
      </c>
      <c r="BD4" s="172" t="s">
        <v>20</v>
      </c>
      <c r="BE4" s="98" t="str">
        <f>DX4</f>
        <v>Comptage par lavage à l’alcool d’environ 120 mL de jeunes abeilles (½ tasse dans l’original)</v>
      </c>
      <c r="BF4" s="125" t="s">
        <v>21</v>
      </c>
      <c r="BG4" s="367" t="s">
        <v>22</v>
      </c>
      <c r="BH4" s="385" t="s">
        <v>23</v>
      </c>
      <c r="BI4" s="385"/>
      <c r="BJ4" s="385"/>
      <c r="BK4" s="385"/>
      <c r="BL4" s="385"/>
      <c r="BM4" s="385"/>
      <c r="BN4" s="386" t="s">
        <v>24</v>
      </c>
      <c r="BO4" s="386"/>
      <c r="BP4" s="363" t="s">
        <v>25</v>
      </c>
      <c r="BQ4" s="52" t="s">
        <v>26</v>
      </c>
      <c r="BR4" s="19" t="s">
        <v>27</v>
      </c>
      <c r="BS4" s="375" t="s">
        <v>28</v>
      </c>
      <c r="BT4" s="20" t="s">
        <v>29</v>
      </c>
      <c r="BU4" s="368" t="s">
        <v>30</v>
      </c>
      <c r="BV4" s="368" t="s">
        <v>31</v>
      </c>
      <c r="BW4" s="368" t="s">
        <v>32</v>
      </c>
      <c r="BX4" s="368" t="s">
        <v>33</v>
      </c>
      <c r="BY4" s="112" t="s">
        <v>34</v>
      </c>
      <c r="BZ4" s="111" t="s">
        <v>35</v>
      </c>
      <c r="CA4" s="368" t="s">
        <v>36</v>
      </c>
      <c r="CB4" s="102" t="s">
        <v>37</v>
      </c>
      <c r="CC4" s="368" t="s">
        <v>38</v>
      </c>
      <c r="CD4" s="368" t="s">
        <v>39</v>
      </c>
      <c r="CE4" s="137" t="s">
        <v>40</v>
      </c>
      <c r="CF4" s="19" t="s">
        <v>41</v>
      </c>
      <c r="CG4" s="57" t="s">
        <v>42</v>
      </c>
      <c r="CH4" s="57" t="s">
        <v>43</v>
      </c>
      <c r="CI4" s="57" t="s">
        <v>44</v>
      </c>
      <c r="CJ4" s="57" t="s">
        <v>45</v>
      </c>
      <c r="CK4" s="57" t="s">
        <v>46</v>
      </c>
      <c r="CL4" s="57" t="s">
        <v>47</v>
      </c>
      <c r="CM4" s="57" t="s">
        <v>48</v>
      </c>
      <c r="CN4" s="57" t="s">
        <v>49</v>
      </c>
      <c r="CO4" s="57" t="s">
        <v>50</v>
      </c>
      <c r="CP4" s="57" t="s">
        <v>51</v>
      </c>
      <c r="CQ4" s="357" t="s">
        <v>52</v>
      </c>
      <c r="CR4" s="58" t="s">
        <v>53</v>
      </c>
      <c r="CS4" s="357" t="s">
        <v>54</v>
      </c>
      <c r="CT4" s="357" t="s">
        <v>55</v>
      </c>
      <c r="CU4" s="358" t="s">
        <v>56</v>
      </c>
      <c r="CV4" s="358" t="s">
        <v>57</v>
      </c>
      <c r="CW4" s="357" t="s">
        <v>58</v>
      </c>
      <c r="CX4" s="357" t="s">
        <v>59</v>
      </c>
      <c r="CY4" s="357" t="s">
        <v>49</v>
      </c>
      <c r="CZ4" s="357" t="s">
        <v>50</v>
      </c>
      <c r="DA4" s="357" t="s">
        <v>60</v>
      </c>
      <c r="DB4" s="362" t="s">
        <v>61</v>
      </c>
      <c r="DC4" s="105" t="s">
        <v>62</v>
      </c>
      <c r="DD4" s="105" t="s">
        <v>63</v>
      </c>
      <c r="DE4" s="105"/>
      <c r="DF4" s="45" t="s">
        <v>64</v>
      </c>
      <c r="DG4" s="105" t="s">
        <v>65</v>
      </c>
      <c r="DH4" s="105" t="s">
        <v>66</v>
      </c>
      <c r="DI4" s="115" t="s">
        <v>67</v>
      </c>
      <c r="DJ4" s="105" t="s">
        <v>68</v>
      </c>
      <c r="DK4" s="106" t="s">
        <v>69</v>
      </c>
      <c r="DL4" s="106" t="s">
        <v>70</v>
      </c>
      <c r="DM4" s="185" t="s">
        <v>71</v>
      </c>
      <c r="DN4" s="108" t="s">
        <v>72</v>
      </c>
      <c r="DO4" s="81" t="s">
        <v>73</v>
      </c>
      <c r="DP4" s="105" t="s">
        <v>74</v>
      </c>
      <c r="DQ4" s="80" t="s">
        <v>75</v>
      </c>
      <c r="DR4" s="106" t="s">
        <v>76</v>
      </c>
      <c r="DS4" s="45" t="s">
        <v>77</v>
      </c>
      <c r="DT4" s="368" t="s">
        <v>78</v>
      </c>
      <c r="DU4" s="363" t="s">
        <v>25</v>
      </c>
      <c r="DV4" s="368" t="s">
        <v>79</v>
      </c>
      <c r="DW4" s="368" t="s">
        <v>80</v>
      </c>
      <c r="DX4" s="51" t="s">
        <v>81</v>
      </c>
      <c r="DY4" s="349" t="s">
        <v>82</v>
      </c>
      <c r="DZ4" s="349" t="s">
        <v>83</v>
      </c>
      <c r="EA4" s="349" t="s">
        <v>84</v>
      </c>
      <c r="EB4" s="349" t="s">
        <v>85</v>
      </c>
      <c r="EC4" s="368" t="s">
        <v>86</v>
      </c>
      <c r="ED4" s="368" t="s">
        <v>87</v>
      </c>
      <c r="EE4" s="368" t="s">
        <v>88</v>
      </c>
      <c r="EF4" s="368" t="s">
        <v>89</v>
      </c>
      <c r="EG4" s="368" t="s">
        <v>90</v>
      </c>
      <c r="EH4" s="195" t="s">
        <v>91</v>
      </c>
      <c r="EJ4" s="368" t="s">
        <v>92</v>
      </c>
      <c r="EK4" s="134" t="s">
        <v>93</v>
      </c>
      <c r="EL4" s="368" t="s">
        <v>94</v>
      </c>
      <c r="EP4" s="392" t="s">
        <v>95</v>
      </c>
      <c r="EQ4" s="392"/>
      <c r="ES4" s="186" t="s">
        <v>96</v>
      </c>
      <c r="ET4" s="368" t="s">
        <v>97</v>
      </c>
    </row>
    <row r="5" spans="2:169" ht="16.44">
      <c r="C5" s="284"/>
      <c r="BA5" s="288">
        <f>IF($AC$21="x", EQ5,EP5)</f>
        <v>40544</v>
      </c>
      <c r="BB5" s="48">
        <f t="shared" ref="BB5:BB28" si="0">IF(EB5&gt;0,"",DF5)</f>
        <v>100</v>
      </c>
      <c r="BC5" s="222">
        <f>IF(EB5&gt;0,"",DT5)</f>
        <v>-5.0125418235442759E-3</v>
      </c>
      <c r="BD5" s="173">
        <f t="shared" ref="BD5:BD29" si="1">IF(EB5&gt;0,"",DM5)</f>
        <v>0</v>
      </c>
      <c r="BE5" s="99">
        <f>IF(EB5&gt;0,"",DX5)</f>
        <v>1.96875</v>
      </c>
      <c r="BF5" s="4" t="str">
        <f t="shared" ref="BF5:BF29" si="2">IF(EB5&gt;0,"",IF(BT5&lt;5,"s.o.",CU5))</f>
        <v>s.o.</v>
      </c>
      <c r="BG5" s="3">
        <f t="shared" ref="BG5:BG29" si="3">IF(EB5&gt;0,"",CA5)</f>
        <v>1</v>
      </c>
      <c r="BH5" s="6"/>
      <c r="BI5" s="393"/>
      <c r="BJ5" s="393"/>
      <c r="BK5" s="393"/>
      <c r="BL5" s="6"/>
      <c r="BM5" s="6"/>
      <c r="BN5" s="6"/>
      <c r="BO5" s="392" t="s">
        <v>98</v>
      </c>
      <c r="BP5" s="158">
        <f>BA5</f>
        <v>40544</v>
      </c>
      <c r="BQ5" s="373">
        <f>IF($BA$32="d",'Profils de colonie'!I31,IF($BA$32="n",'Profils de colonie'!I59,IF($BA$32="p",'Profils de colonie'!I87,IF($BA$32="a",'Profils de colonie'!I115,IF($BA$32="b",'Profils de colonie'!I143,IF($BA$32="c",'Profils de colonie'!I171,IF($BA$32="r",'Profils de colonie'!I199,IF($BA$32="s",'Profils de colonie'!I227,IF($BA$32="f",'Profils de colonie'!I255,"erreur")))))))))</f>
        <v>8</v>
      </c>
      <c r="BR5">
        <f t="shared" ref="BR5:BR28" si="4">BQ5*$BQ$45</f>
        <v>16000</v>
      </c>
      <c r="BS5" s="68">
        <f>IF($BA$32="d",'Profils de colonie'!G31,IF($BA$32="n",'Profils de colonie'!G59,IF($BA$32="p",'Profils de colonie'!G87,IF($BA$32="a",'Profils de colonie'!G115,IF($BA$32="b",'Profils de colonie'!G143,IF($BA$32="c",'Profils de colonie'!G171,IF($BA$32="r",'Profils de colonie'!G199,IF($BA$32="s",'Profils de colonie'!G227,IF($BA$32="f",'Profils de colonie'!G255,"erreur")))))))))</f>
        <v>0</v>
      </c>
      <c r="BT5" s="13">
        <f t="shared" ref="BT5:BT28" si="5">IF(BS5=0,1,$BQ$44*BS5)</f>
        <v>1</v>
      </c>
      <c r="BU5" s="17">
        <f t="shared" ref="BU5:BU28" si="6">IF(BR5=0,0,BT5/BR5)</f>
        <v>6.2500000000000001E-5</v>
      </c>
      <c r="BV5">
        <f>BT5*12/20</f>
        <v>0.6</v>
      </c>
      <c r="BW5" s="14">
        <f>CU5*BV5</f>
        <v>0</v>
      </c>
      <c r="BX5" s="14">
        <f t="shared" ref="BX5:BX28" si="7">BT5/20</f>
        <v>0.05</v>
      </c>
      <c r="BY5" s="89">
        <f>IF(BU5=0,0.001,(-$BQ$43*LN(BU5))+$BQ$42)</f>
        <v>53.401720006109592</v>
      </c>
      <c r="BZ5" s="21">
        <f t="shared" ref="BZ5:BZ28" si="8">BY5+12</f>
        <v>65.401720006109599</v>
      </c>
      <c r="CA5" s="26">
        <f t="shared" ref="CA5:CA28" si="9">IF(BS5=0,1,BY5/BZ5)</f>
        <v>1</v>
      </c>
      <c r="CB5" s="103">
        <f t="shared" ref="CB5:CB28" si="10">1-CA5</f>
        <v>0</v>
      </c>
      <c r="CC5" s="22">
        <f t="shared" ref="CC5:CC29" si="11">DF5*CB5</f>
        <v>0</v>
      </c>
      <c r="CD5" s="5">
        <f t="shared" ref="CD5:CD28" si="12">0.6*BT5</f>
        <v>0.6</v>
      </c>
      <c r="CE5" s="67">
        <f>IF($BA$32="d",'Profils de colonie'!K31,IF($BA$32="n",'Profils de colonie'!K59,IF($BA$32="p",'Profils de colonie'!K87,IF($BA$32="a",'Profils de colonie'!K115,IF($BA$32="b",'Profils de colonie'!K143,IF($BA$32="c",'Profils de colonie'!K171,IF($BA$32="r",'Profils de colonie'!K199,IF($BA$32="s",'Profils de colonie'!K199,IF($BA$32="f",'Profils de colonie'!K255,"erreur")))))))))</f>
        <v>0</v>
      </c>
      <c r="CF5" s="87">
        <f>CE5*16/25</f>
        <v>0</v>
      </c>
      <c r="CG5" s="63">
        <f>CF5*$BQ$43</f>
        <v>0</v>
      </c>
      <c r="CH5" s="84">
        <f>CG5*CB5</f>
        <v>0</v>
      </c>
      <c r="CI5" s="60">
        <f t="shared" ref="CI5:CI28" si="13">CG5*CC5</f>
        <v>0</v>
      </c>
      <c r="CJ5" s="61">
        <f>IF(CF5=0,0,CI5/(CD5*CF5))</f>
        <v>0</v>
      </c>
      <c r="CK5" s="266">
        <f t="shared" ref="CK5:CK29" si="14">1-(POISSON(0,CJ5,FALSE))</f>
        <v>0</v>
      </c>
      <c r="CL5" s="267">
        <f>IF(CK5=0,0,CJ5/CK5)</f>
        <v>0</v>
      </c>
      <c r="CM5" s="61">
        <f t="shared" ref="CM5:CM28" si="15">BY5+15</f>
        <v>68.401720006109599</v>
      </c>
      <c r="CN5" s="265">
        <v>1</v>
      </c>
      <c r="CO5" s="71">
        <f t="shared" ref="CO5:CO28" si="16">(1+($BQ$32*CN5))*$BQ$47</f>
        <v>4.2749999999999995</v>
      </c>
      <c r="CP5" s="65">
        <f>LN(CO5)/14.75</f>
        <v>9.8493837450082944E-2</v>
      </c>
      <c r="CQ5" s="85">
        <f>1-CA5-CH5</f>
        <v>0</v>
      </c>
      <c r="CR5" s="59">
        <f>(1-CF5)*CD5</f>
        <v>0.6</v>
      </c>
      <c r="CS5" s="59">
        <f t="shared" ref="CS5:CS28" si="17">CC5-CI5</f>
        <v>0</v>
      </c>
      <c r="CT5" s="62">
        <f t="shared" ref="CT5:CT28" si="18">CS5/CR5</f>
        <v>0</v>
      </c>
      <c r="CU5" s="263">
        <f t="shared" ref="CU5:CU29" si="19">1-(POISSON(0,CT5,FALSE))</f>
        <v>0</v>
      </c>
      <c r="CV5" s="265">
        <f>CT5/(CU5+0.000001)</f>
        <v>0</v>
      </c>
      <c r="CW5" s="64">
        <f t="shared" ref="CW5:CW29" si="20">1-CG5</f>
        <v>1</v>
      </c>
      <c r="CX5" s="62">
        <f t="shared" ref="CX5:CX29" si="21">BY5+12</f>
        <v>65.401720006109599</v>
      </c>
      <c r="CY5" s="264">
        <v>1</v>
      </c>
      <c r="CZ5" s="70">
        <f>(1+($BQ$30*CY5))*$BQ$47</f>
        <v>2.2586249999999999</v>
      </c>
      <c r="DA5" s="66">
        <f t="shared" ref="DA5:DA29" si="22">IF(DF5&gt;2*CR5,0,LN(CZ5)/12.5)</f>
        <v>0</v>
      </c>
      <c r="DB5" s="91">
        <f t="shared" ref="DB5:DB29" si="23">(CH5*CP5+CQ5*DA5)</f>
        <v>0</v>
      </c>
      <c r="DC5" s="23">
        <f t="shared" ref="DC5:DC29" si="24">IF(BU5&gt;0.25,$BW$39,$BW$38)</f>
        <v>-5.0125418235442863E-3</v>
      </c>
      <c r="DD5" s="28">
        <f t="shared" ref="DD5:DD28" si="25">DB5+DC5</f>
        <v>-5.0125418235442863E-3</v>
      </c>
      <c r="DE5" s="29"/>
      <c r="DF5" s="86">
        <f>IF(OR($BA$32="n",$BA$32="p"),0,BA33)</f>
        <v>100</v>
      </c>
      <c r="DG5" s="178">
        <f t="shared" ref="DG5:DG29" si="26">DF5*$BQ$31</f>
        <v>70</v>
      </c>
      <c r="DH5" s="177">
        <f>DG5</f>
        <v>70</v>
      </c>
      <c r="DI5" s="116">
        <f>DH5*EXP(DB5*$BQ$37)-DH5</f>
        <v>0</v>
      </c>
      <c r="DJ5" s="13">
        <f>DF5+DI5</f>
        <v>100</v>
      </c>
      <c r="DK5" s="199">
        <f>DJ5-DL5</f>
        <v>7.3399166893701562</v>
      </c>
      <c r="DL5" s="107">
        <f t="shared" ref="DL5:DL29" si="27">DJ5*EXP((IF(BU5&gt;0.25,$BW$39,$BW$38)*$BQ$37))</f>
        <v>92.660083310629844</v>
      </c>
      <c r="DM5" s="182">
        <f>'Immigration de varroas'!E12</f>
        <v>0</v>
      </c>
      <c r="DN5" s="109"/>
      <c r="DO5" s="176"/>
      <c r="DP5" s="198">
        <f t="shared" ref="DP5:DP29" si="28">DL5+DO5</f>
        <v>92.660083310629844</v>
      </c>
      <c r="DQ5" s="278">
        <f>EK$33</f>
        <v>0</v>
      </c>
      <c r="DR5" s="107">
        <f>DP5*DQ5</f>
        <v>0</v>
      </c>
      <c r="DS5" s="79">
        <f t="shared" ref="DS5:DS29" si="29">DP5-DR5</f>
        <v>92.660083310629844</v>
      </c>
      <c r="DT5" s="23">
        <f t="shared" ref="DT5:DT29" si="30">LN(DS5/DF5)/$BQ$37</f>
        <v>-5.0125418235442759E-3</v>
      </c>
      <c r="DU5" s="158">
        <f t="shared" ref="DU5:DU29" si="31">BA5</f>
        <v>40544</v>
      </c>
      <c r="DV5" s="74">
        <f t="shared" ref="DV5:DV29" si="32">DF5*CA5</f>
        <v>100</v>
      </c>
      <c r="DW5" s="23">
        <f t="shared" ref="DW5:DW29" si="33">IF(BR5=0,0.001,DV5/BR5)</f>
        <v>6.2500000000000003E-3</v>
      </c>
      <c r="DX5" s="114">
        <f t="shared" ref="DX5:DX28" si="34">DW5*315</f>
        <v>1.96875</v>
      </c>
      <c r="DY5" s="75"/>
      <c r="DZ5" s="75"/>
      <c r="EA5" s="75"/>
      <c r="EB5" s="75"/>
      <c r="EC5" s="75"/>
      <c r="ED5" s="75"/>
      <c r="EG5" s="175"/>
      <c r="EH5" s="196"/>
      <c r="EJ5" s="261">
        <f>DF5</f>
        <v>100</v>
      </c>
      <c r="EK5" s="130">
        <v>0</v>
      </c>
      <c r="EL5" s="262">
        <v>0.5</v>
      </c>
      <c r="EP5" s="2">
        <v>40544</v>
      </c>
      <c r="EQ5" s="193">
        <v>42917</v>
      </c>
      <c r="ER5" s="14"/>
      <c r="ES5" s="17"/>
      <c r="EU5" s="14"/>
      <c r="EV5" s="14"/>
      <c r="EW5" s="14"/>
      <c r="EX5" s="14"/>
      <c r="EY5" s="14"/>
      <c r="EZ5" s="14"/>
      <c r="FA5" s="14"/>
      <c r="FB5" s="14"/>
      <c r="FC5" s="14"/>
      <c r="FD5" s="14"/>
      <c r="FE5" s="14"/>
      <c r="FF5" s="14"/>
      <c r="FG5" s="14"/>
      <c r="FH5" s="14"/>
      <c r="FI5" s="14"/>
      <c r="FJ5" s="14"/>
    </row>
    <row r="6" spans="2:169" ht="16" customHeight="1">
      <c r="C6" s="284"/>
      <c r="AF6" s="274"/>
      <c r="AG6" s="282"/>
      <c r="BA6" s="288">
        <f t="shared" ref="BA6:BA29" si="35">IF($AC$21="x", EQ6,EP6)</f>
        <v>40558</v>
      </c>
      <c r="BB6" s="48">
        <f t="shared" si="0"/>
        <v>92.660083310629844</v>
      </c>
      <c r="BC6" s="222">
        <f t="shared" ref="BC6:BC28" si="36">IF(EB6&gt;0,"",DT6)</f>
        <v>5.2233269783675549E-3</v>
      </c>
      <c r="BD6" s="173">
        <f t="shared" si="1"/>
        <v>0</v>
      </c>
      <c r="BE6" s="99">
        <f t="shared" ref="BE6:BE28" si="37">IF(EB6&gt;0,"",DX6)</f>
        <v>1.1011521708318264</v>
      </c>
      <c r="BF6" s="4">
        <f t="shared" si="2"/>
        <v>5.295877873559407E-2</v>
      </c>
      <c r="BG6" s="3">
        <f t="shared" si="3"/>
        <v>0.60362064049089725</v>
      </c>
      <c r="BH6" s="379">
        <v>0.95</v>
      </c>
      <c r="BI6" s="394" t="s">
        <v>99</v>
      </c>
      <c r="BJ6" s="395"/>
      <c r="BK6" s="395"/>
      <c r="BL6" s="395"/>
      <c r="BM6" s="396"/>
      <c r="BO6" s="392"/>
      <c r="BP6" s="158">
        <f t="shared" ref="BP6:BP29" si="38">BA6</f>
        <v>40558</v>
      </c>
      <c r="BQ6" s="373">
        <f>IF($BA$32="d",'Profils de colonie'!I32,IF($BA$32="n",'Profils de colonie'!I60,IF($BA$32="p",'Profils de colonie'!I88,IF($BA$32="a",'Profils de colonie'!I116,IF($BA$32="b",'Profils de colonie'!I144,IF($BA$32="c",'Profils de colonie'!I172,IF($BA$32="r",'Profils de colonie'!I200,IF($BA$32="s",'Profils de colonie'!I228,IF($BA$32="f",'Profils de colonie'!I256,"erreur")))))))))</f>
        <v>8</v>
      </c>
      <c r="BR6">
        <f t="shared" si="4"/>
        <v>16000</v>
      </c>
      <c r="BS6" s="68">
        <f>IF($BA$32="d",'Profils de colonie'!G32,IF($BA$32="n",'Profils de colonie'!G60,IF($BA$32="p",'Profils de colonie'!G88,IF($BA$32="a",'Profils de colonie'!G116,IF($BA$32="b",'Profils de colonie'!G144,IF($BA$32="c",'Profils de colonie'!G172,IF($BA$32="r",'Profils de colonie'!G200,IF($BA$32="s",'Profils de colonie'!G228,IF($BA$32="f",'Profils de colonie'!G256,"erreur")))))))))</f>
        <v>0.25</v>
      </c>
      <c r="BT6" s="13">
        <f t="shared" si="5"/>
        <v>1125</v>
      </c>
      <c r="BU6" s="17">
        <f t="shared" si="6"/>
        <v>7.03125E-2</v>
      </c>
      <c r="BV6">
        <f t="shared" ref="BV6:BV28" si="39">BT6*12/20</f>
        <v>675</v>
      </c>
      <c r="BW6" s="14">
        <f t="shared" ref="BW6:BW28" si="40">CU6*BV6</f>
        <v>35.747175646525996</v>
      </c>
      <c r="BX6" s="14">
        <f t="shared" si="7"/>
        <v>56.25</v>
      </c>
      <c r="BY6" s="89">
        <f t="shared" ref="BY6:BY28" si="41">IF(BU6=0,0.001,(-$BQ$43*LN(BU6))+$BQ$42)</f>
        <v>18.274028432916989</v>
      </c>
      <c r="BZ6" s="21">
        <f t="shared" si="8"/>
        <v>30.274028432916989</v>
      </c>
      <c r="CA6" s="26">
        <f t="shared" si="9"/>
        <v>0.60362064049089725</v>
      </c>
      <c r="CB6" s="103">
        <f t="shared" si="10"/>
        <v>0.39637935950910275</v>
      </c>
      <c r="CC6" s="22">
        <f t="shared" si="11"/>
        <v>36.728544474727556</v>
      </c>
      <c r="CD6" s="5">
        <f t="shared" si="12"/>
        <v>675</v>
      </c>
      <c r="CE6" s="67">
        <f>IF($BA$32="d",'Profils de colonie'!K32,IF($BA$32="n",'Profils de colonie'!K60,IF($BA$32="p",'Profils de colonie'!K88,IF($BA$32="a",'Profils de colonie'!K116,IF($BA$32="b",'Profils de colonie'!K144,IF($BA$32="c",'Profils de colonie'!K172,IF($BA$32="r",'Profils de colonie'!K200,IF($BA$32="s",'Profils de colonie'!K200,IF($BA$32="f",'Profils de colonie'!K256,"erreur")))))))))</f>
        <v>0</v>
      </c>
      <c r="CF6" s="87">
        <f t="shared" ref="CF6:CF29" si="42">CE6*16/25</f>
        <v>0</v>
      </c>
      <c r="CG6" s="63">
        <f t="shared" ref="CG6:CG29" si="43">CF6*$BQ$43</f>
        <v>0</v>
      </c>
      <c r="CH6" s="84">
        <f t="shared" ref="CH6:CH28" si="44">CG6*CB6</f>
        <v>0</v>
      </c>
      <c r="CI6" s="60">
        <f t="shared" si="13"/>
        <v>0</v>
      </c>
      <c r="CJ6" s="61">
        <f t="shared" ref="CJ6:CJ28" si="45">IF(CF6=0,0,CI6/(CD6*CF6))</f>
        <v>0</v>
      </c>
      <c r="CK6" s="266">
        <f t="shared" si="14"/>
        <v>0</v>
      </c>
      <c r="CL6" s="267">
        <f t="shared" ref="CL6:CL28" si="46">IF(CK6=0,0,CJ6/CK6)</f>
        <v>0</v>
      </c>
      <c r="CM6" s="61">
        <f t="shared" si="15"/>
        <v>33.274028432916992</v>
      </c>
      <c r="CN6" s="265">
        <v>1</v>
      </c>
      <c r="CO6" s="71">
        <f t="shared" si="16"/>
        <v>4.2749999999999995</v>
      </c>
      <c r="CP6" s="65">
        <f t="shared" ref="CP6:CP28" si="47">LN(CO6)/14.75</f>
        <v>9.8493837450082944E-2</v>
      </c>
      <c r="CQ6" s="85">
        <f t="shared" ref="CQ6:CQ28" si="48">1-CA6-CH6</f>
        <v>0.39637935950910275</v>
      </c>
      <c r="CR6" s="59">
        <f t="shared" ref="CR6:CR28" si="49">(1-CF6)*CD6</f>
        <v>675</v>
      </c>
      <c r="CS6" s="59">
        <f>CC6-CI6</f>
        <v>36.728544474727556</v>
      </c>
      <c r="CT6" s="62">
        <f t="shared" si="18"/>
        <v>5.4412658481077861E-2</v>
      </c>
      <c r="CU6" s="263">
        <f t="shared" si="19"/>
        <v>5.295877873559407E-2</v>
      </c>
      <c r="CV6" s="265">
        <f t="shared" ref="CV6:CV29" si="50">CT6/(CU6+0.000001)</f>
        <v>1.0274336445538681</v>
      </c>
      <c r="CW6" s="64">
        <f t="shared" si="20"/>
        <v>1</v>
      </c>
      <c r="CX6" s="62">
        <f t="shared" si="21"/>
        <v>30.274028432916989</v>
      </c>
      <c r="CY6" s="264">
        <v>1</v>
      </c>
      <c r="CZ6" s="70">
        <f t="shared" ref="CZ6:CZ29" si="51">(1+($BQ$30*CY6))*$BQ$47</f>
        <v>2.2586249999999999</v>
      </c>
      <c r="DA6" s="66">
        <f t="shared" si="22"/>
        <v>6.518049768398862E-2</v>
      </c>
      <c r="DB6" s="91">
        <f t="shared" si="23"/>
        <v>2.5836203924463966E-2</v>
      </c>
      <c r="DC6" s="23">
        <f t="shared" si="24"/>
        <v>-5.0125418235442863E-3</v>
      </c>
      <c r="DD6" s="28">
        <f t="shared" si="25"/>
        <v>2.0823662100919679E-2</v>
      </c>
      <c r="DE6" s="28"/>
      <c r="DF6" s="270">
        <f>IF(OR($BA$32="n",$BA$32="p"),0,DS5)</f>
        <v>92.660083310629844</v>
      </c>
      <c r="DG6" s="178">
        <f t="shared" si="26"/>
        <v>64.862058317440884</v>
      </c>
      <c r="DH6" s="178">
        <f>DG6*(1-EL5)</f>
        <v>32.431029158720442</v>
      </c>
      <c r="DI6" s="116">
        <f t="shared" ref="DI6:DI15" si="52">DH6*EXP(DB6*$BQ$37)-DH6</f>
        <v>15.609319551891964</v>
      </c>
      <c r="DJ6" s="13">
        <f t="shared" ref="DJ6:DJ28" si="53">DF6+DI6</f>
        <v>108.26940286252182</v>
      </c>
      <c r="DK6" s="199">
        <f t="shared" ref="DK6:DK28" si="54">DJ6-DL6</f>
        <v>7.9468839701876561</v>
      </c>
      <c r="DL6" s="107">
        <f t="shared" si="27"/>
        <v>100.32251889233416</v>
      </c>
      <c r="DM6" s="182">
        <f>'Immigration de varroas'!E13</f>
        <v>0</v>
      </c>
      <c r="DN6" s="109">
        <f t="shared" ref="DN6:DN28" si="55">IF(EH6&gt;DV6*EG6,-DV6*EG6,-EH6)</f>
        <v>-1.4354305084057733E-3</v>
      </c>
      <c r="DO6" s="82">
        <f>DM6+DN6</f>
        <v>-1.4354305084057733E-3</v>
      </c>
      <c r="DP6" s="198">
        <f t="shared" si="28"/>
        <v>100.32108346182575</v>
      </c>
      <c r="DQ6" s="278">
        <f>EL$33</f>
        <v>0</v>
      </c>
      <c r="DR6" s="107">
        <f t="shared" ref="DR6:DR28" si="56">DP6*DQ6</f>
        <v>0</v>
      </c>
      <c r="DS6" s="79">
        <f t="shared" si="29"/>
        <v>100.32108346182575</v>
      </c>
      <c r="DT6" s="23">
        <f t="shared" si="30"/>
        <v>5.2233269783675549E-3</v>
      </c>
      <c r="DU6" s="158">
        <f t="shared" si="31"/>
        <v>40558</v>
      </c>
      <c r="DV6" s="74">
        <f t="shared" si="32"/>
        <v>55.931538835902288</v>
      </c>
      <c r="DW6" s="23">
        <f t="shared" si="33"/>
        <v>3.495721177243893E-3</v>
      </c>
      <c r="DX6" s="114">
        <f t="shared" si="34"/>
        <v>1.1011521708318264</v>
      </c>
      <c r="DY6" s="75"/>
      <c r="DZ6" s="75"/>
      <c r="EA6" s="75"/>
      <c r="EB6" s="75"/>
      <c r="EC6" s="13">
        <f t="shared" ref="EC6:EC29" si="57">BT5*0.9/20*$BQ$37</f>
        <v>0.68437499999999996</v>
      </c>
      <c r="ED6" s="14">
        <f t="shared" ref="ED6:ED29" si="58">BR6-BR5</f>
        <v>0</v>
      </c>
      <c r="EE6" s="13">
        <f t="shared" ref="EE6:EE28" si="59">EC6-ED6</f>
        <v>0.68437499999999996</v>
      </c>
      <c r="EF6" s="13">
        <f>EE6/$BQ$37</f>
        <v>4.4999999999999998E-2</v>
      </c>
      <c r="EG6" s="17">
        <f t="shared" ref="EG6:EG28" si="60">IF(DW6&gt;0.15,1,$BQ$36)</f>
        <v>0.6</v>
      </c>
      <c r="EH6" s="197">
        <f t="shared" ref="EH6:EH28" si="61">EE6*EG6*DW6</f>
        <v>1.4354305084057733E-3</v>
      </c>
      <c r="EJ6" s="13">
        <f t="shared" ref="EJ6:EJ29" si="62">DI6</f>
        <v>15.609319551891964</v>
      </c>
      <c r="EK6" s="130">
        <v>0</v>
      </c>
      <c r="EL6" s="31">
        <f>EK$60</f>
        <v>0</v>
      </c>
      <c r="EP6" s="2">
        <v>40558</v>
      </c>
      <c r="EQ6" s="193">
        <v>42931</v>
      </c>
      <c r="ER6" s="14"/>
      <c r="ES6" s="17"/>
      <c r="ET6">
        <v>5.67</v>
      </c>
      <c r="EU6" s="14"/>
      <c r="EV6" s="14"/>
      <c r="EW6" s="14"/>
      <c r="EX6" s="14"/>
      <c r="EY6" s="14"/>
      <c r="EZ6" s="14"/>
      <c r="FA6" s="14"/>
      <c r="FB6" s="14"/>
      <c r="FC6" s="14"/>
      <c r="FD6" s="14"/>
      <c r="FE6" s="14"/>
      <c r="FF6" s="14"/>
      <c r="FG6" s="14"/>
      <c r="FH6" s="14"/>
      <c r="FI6" s="14"/>
      <c r="FJ6" s="14"/>
      <c r="FK6" s="14"/>
      <c r="FL6" s="14"/>
      <c r="FM6" s="14"/>
    </row>
    <row r="7" spans="2:169" ht="16.19" customHeight="1">
      <c r="C7" s="284"/>
      <c r="AF7" s="274"/>
      <c r="AG7" s="282"/>
      <c r="BA7" s="288">
        <f t="shared" si="35"/>
        <v>40575</v>
      </c>
      <c r="BB7" s="48">
        <f t="shared" si="0"/>
        <v>100.32108346182575</v>
      </c>
      <c r="BC7" s="222">
        <f t="shared" si="36"/>
        <v>1.4156209170941484E-2</v>
      </c>
      <c r="BD7" s="173">
        <f t="shared" si="1"/>
        <v>0</v>
      </c>
      <c r="BE7" s="99">
        <f t="shared" si="37"/>
        <v>1.1545713362615053</v>
      </c>
      <c r="BF7" s="4">
        <f t="shared" si="2"/>
        <v>4.569754999750375E-2</v>
      </c>
      <c r="BG7" s="3">
        <f t="shared" si="3"/>
        <v>0.58457196879000284</v>
      </c>
      <c r="BH7" s="380"/>
      <c r="BI7" s="397"/>
      <c r="BJ7" s="398"/>
      <c r="BK7" s="398"/>
      <c r="BL7" s="398"/>
      <c r="BM7" s="399"/>
      <c r="BO7" s="392"/>
      <c r="BP7" s="158">
        <f t="shared" si="38"/>
        <v>40575</v>
      </c>
      <c r="BQ7" s="373">
        <f>IF($BA$32="d",'Profils de colonie'!I33,IF($BA$32="n",'Profils de colonie'!I61,IF($BA$32="p",'Profils de colonie'!I89,IF($BA$32="a",'Profils de colonie'!I117,IF($BA$32="b",'Profils de colonie'!I145,IF($BA$32="c",'Profils de colonie'!I173,IF($BA$32="r",'Profils de colonie'!I201,IF($BA$32="s",'Profils de colonie'!I229,IF($BA$32="f",'Profils de colonie'!I257,"erreur")))))))))</f>
        <v>8</v>
      </c>
      <c r="BR7">
        <f t="shared" si="4"/>
        <v>16000</v>
      </c>
      <c r="BS7" s="68">
        <f>IF($BA$32="d",'Profils de colonie'!G33,IF($BA$32="n",'Profils de colonie'!G61,IF($BA$32="p",'Profils de colonie'!G89,IF($BA$32="a",'Profils de colonie'!G117,IF($BA$32="b",'Profils de colonie'!G145,IF($BA$32="c",'Profils de colonie'!G173,IF($BA$32="r",'Profils de colonie'!G201,IF($BA$32="s",'Profils de colonie'!G229,IF($BA$32="f",'Profils de colonie'!G257,"erreur")))))))))</f>
        <v>0.33</v>
      </c>
      <c r="BT7" s="13">
        <f t="shared" si="5"/>
        <v>1485</v>
      </c>
      <c r="BU7" s="17">
        <f t="shared" si="6"/>
        <v>9.2812500000000006E-2</v>
      </c>
      <c r="BV7">
        <f t="shared" si="39"/>
        <v>891</v>
      </c>
      <c r="BW7" s="14">
        <f t="shared" si="40"/>
        <v>40.716517047775838</v>
      </c>
      <c r="BX7" s="14">
        <f t="shared" si="7"/>
        <v>74.25</v>
      </c>
      <c r="BY7" s="89">
        <f t="shared" si="41"/>
        <v>16.88586974992559</v>
      </c>
      <c r="BZ7" s="21">
        <f t="shared" si="8"/>
        <v>28.88586974992559</v>
      </c>
      <c r="CA7" s="26">
        <f t="shared" si="9"/>
        <v>0.58457196879000284</v>
      </c>
      <c r="CB7" s="103">
        <f t="shared" si="10"/>
        <v>0.41542803120999716</v>
      </c>
      <c r="CC7" s="22">
        <f t="shared" si="11"/>
        <v>41.676190191400082</v>
      </c>
      <c r="CD7" s="5">
        <f t="shared" si="12"/>
        <v>891</v>
      </c>
      <c r="CE7" s="67">
        <f>IF($BA$32="d",'Profils de colonie'!K33,IF($BA$32="n",'Profils de colonie'!K61,IF($BA$32="p",'Profils de colonie'!K89,IF($BA$32="a",'Profils de colonie'!K117,IF($BA$32="b",'Profils de colonie'!K145,IF($BA$32="c",'Profils de colonie'!K173,IF($BA$32="r",'Profils de colonie'!K201,IF($BA$32="s",'Profils de colonie'!K201,IF($BA$32="f",'Profils de colonie'!K257,"erreur")))))))))</f>
        <v>0</v>
      </c>
      <c r="CF7" s="87">
        <f t="shared" si="42"/>
        <v>0</v>
      </c>
      <c r="CG7" s="63">
        <f t="shared" si="43"/>
        <v>0</v>
      </c>
      <c r="CH7" s="84">
        <f t="shared" si="44"/>
        <v>0</v>
      </c>
      <c r="CI7" s="60">
        <f t="shared" si="13"/>
        <v>0</v>
      </c>
      <c r="CJ7" s="61">
        <f t="shared" si="45"/>
        <v>0</v>
      </c>
      <c r="CK7" s="266">
        <f t="shared" si="14"/>
        <v>0</v>
      </c>
      <c r="CL7" s="267">
        <f t="shared" si="46"/>
        <v>0</v>
      </c>
      <c r="CM7" s="61">
        <f t="shared" si="15"/>
        <v>31.88586974992559</v>
      </c>
      <c r="CN7" s="265">
        <v>1</v>
      </c>
      <c r="CO7" s="71">
        <f t="shared" si="16"/>
        <v>4.2749999999999995</v>
      </c>
      <c r="CP7" s="65">
        <f t="shared" si="47"/>
        <v>9.8493837450082944E-2</v>
      </c>
      <c r="CQ7" s="85">
        <f t="shared" si="48"/>
        <v>0.41542803120999716</v>
      </c>
      <c r="CR7" s="59">
        <f t="shared" si="49"/>
        <v>891</v>
      </c>
      <c r="CS7" s="59">
        <f t="shared" si="17"/>
        <v>41.676190191400082</v>
      </c>
      <c r="CT7" s="62">
        <f t="shared" si="18"/>
        <v>4.6774624232772261E-2</v>
      </c>
      <c r="CU7" s="263">
        <f t="shared" si="19"/>
        <v>4.569754999750375E-2</v>
      </c>
      <c r="CV7" s="265">
        <f t="shared" si="50"/>
        <v>1.0235472292956185</v>
      </c>
      <c r="CW7" s="64">
        <f t="shared" si="20"/>
        <v>1</v>
      </c>
      <c r="CX7" s="62">
        <f t="shared" si="21"/>
        <v>28.88586974992559</v>
      </c>
      <c r="CY7" s="264">
        <v>1</v>
      </c>
      <c r="CZ7" s="70">
        <f t="shared" si="51"/>
        <v>2.2586249999999999</v>
      </c>
      <c r="DA7" s="66">
        <f t="shared" si="22"/>
        <v>6.518049768398862E-2</v>
      </c>
      <c r="DB7" s="91">
        <f t="shared" si="23"/>
        <v>2.7077805826147171E-2</v>
      </c>
      <c r="DC7" s="23">
        <f t="shared" si="24"/>
        <v>-5.0125418235442863E-3</v>
      </c>
      <c r="DD7" s="28">
        <f t="shared" si="25"/>
        <v>2.2065264002602884E-2</v>
      </c>
      <c r="DE7" s="28"/>
      <c r="DF7" s="270">
        <f>IF(OR($BA$32="n",$BA$32="p"),0,DS6)</f>
        <v>100.32108346182575</v>
      </c>
      <c r="DG7" s="178">
        <f t="shared" si="26"/>
        <v>70.224758423278018</v>
      </c>
      <c r="DH7" s="178">
        <f>DG7*(1-EL6)</f>
        <v>70.224758423278018</v>
      </c>
      <c r="DI7" s="116">
        <f t="shared" si="52"/>
        <v>35.782676229362181</v>
      </c>
      <c r="DJ7" s="13">
        <f t="shared" si="53"/>
        <v>136.10375969118792</v>
      </c>
      <c r="DK7" s="199">
        <f t="shared" si="54"/>
        <v>9.9899025724337633</v>
      </c>
      <c r="DL7" s="107">
        <f t="shared" si="27"/>
        <v>126.11385711875415</v>
      </c>
      <c r="DM7" s="182">
        <f>'Immigration de varroas'!E14</f>
        <v>0</v>
      </c>
      <c r="DN7" s="109">
        <f t="shared" si="55"/>
        <v>-1.693199481972788</v>
      </c>
      <c r="DO7" s="82">
        <f t="shared" ref="DO7:DO29" si="63">DM7+DN7</f>
        <v>-1.693199481972788</v>
      </c>
      <c r="DP7" s="198">
        <f t="shared" si="28"/>
        <v>124.42065763678137</v>
      </c>
      <c r="DQ7" s="278">
        <f>EM$33</f>
        <v>0</v>
      </c>
      <c r="DR7" s="107">
        <f t="shared" si="56"/>
        <v>0</v>
      </c>
      <c r="DS7" s="79">
        <f t="shared" si="29"/>
        <v>124.42065763678137</v>
      </c>
      <c r="DT7" s="23">
        <f t="shared" si="30"/>
        <v>1.4156209170941484E-2</v>
      </c>
      <c r="DU7" s="158">
        <f t="shared" si="31"/>
        <v>40575</v>
      </c>
      <c r="DV7" s="74">
        <f t="shared" si="32"/>
        <v>58.644893270425669</v>
      </c>
      <c r="DW7" s="23">
        <f t="shared" si="33"/>
        <v>3.6653058294016045E-3</v>
      </c>
      <c r="DX7" s="114">
        <f t="shared" si="34"/>
        <v>1.1545713362615053</v>
      </c>
      <c r="DY7" s="179" t="str">
        <f>IF((BS7&lt;0.25),DY6,IF(DY6=100,100,IF(CU5&gt;$AI$52,100,"")))</f>
        <v/>
      </c>
      <c r="DZ7" s="179" t="str">
        <f>IF(DZ6=100,100,IF(BT7&lt;100,IF((DX5+DX6)&gt;$AI$53,100,""),""))</f>
        <v/>
      </c>
      <c r="EA7" s="179"/>
      <c r="EB7">
        <f>SUM(DY7:EA7)</f>
        <v>0</v>
      </c>
      <c r="EC7" s="13">
        <f t="shared" si="57"/>
        <v>769.921875</v>
      </c>
      <c r="ED7" s="14">
        <f t="shared" si="58"/>
        <v>0</v>
      </c>
      <c r="EE7" s="13">
        <f t="shared" si="59"/>
        <v>769.921875</v>
      </c>
      <c r="EF7" s="13">
        <f t="shared" ref="EF7:EF29" si="64">EE7/$BQ$37</f>
        <v>50.625</v>
      </c>
      <c r="EG7" s="17">
        <f t="shared" si="60"/>
        <v>0.6</v>
      </c>
      <c r="EH7" s="197">
        <f t="shared" si="61"/>
        <v>1.693199481972788</v>
      </c>
      <c r="EJ7" s="13">
        <f t="shared" si="62"/>
        <v>35.782676229362181</v>
      </c>
      <c r="EK7" s="130">
        <v>0</v>
      </c>
      <c r="EL7" s="31">
        <f>EL$60</f>
        <v>0</v>
      </c>
      <c r="EP7" s="2">
        <v>40575</v>
      </c>
      <c r="EQ7" s="193">
        <v>42948</v>
      </c>
      <c r="ER7" s="14"/>
      <c r="ES7" s="17"/>
      <c r="EU7" s="14"/>
      <c r="EV7" s="14"/>
      <c r="EW7" s="14"/>
      <c r="EX7" s="14"/>
      <c r="EY7" s="14"/>
      <c r="EZ7" s="14"/>
      <c r="FA7" s="14"/>
      <c r="FB7" s="14"/>
      <c r="FC7" s="14"/>
      <c r="FD7" s="14"/>
      <c r="FE7" s="14"/>
      <c r="FF7" s="14"/>
      <c r="FG7" s="14"/>
      <c r="FH7" s="14"/>
      <c r="FI7" s="14"/>
      <c r="FJ7" s="14"/>
      <c r="FK7" s="14"/>
      <c r="FL7" s="14"/>
      <c r="FM7" s="14"/>
    </row>
    <row r="8" spans="2:169" ht="16" customHeight="1">
      <c r="C8" s="284"/>
      <c r="AF8" s="274"/>
      <c r="AG8" s="282"/>
      <c r="BA8" s="288">
        <f t="shared" si="35"/>
        <v>40589</v>
      </c>
      <c r="BB8" s="48">
        <f t="shared" si="0"/>
        <v>124.42065763678137</v>
      </c>
      <c r="BC8" s="222">
        <f t="shared" si="36"/>
        <v>1.5990546388849801E-2</v>
      </c>
      <c r="BD8" s="173">
        <f t="shared" si="1"/>
        <v>0</v>
      </c>
      <c r="BE8" s="99">
        <f>IF(EB8&gt;0,"",DX8)</f>
        <v>1.4063098328231911</v>
      </c>
      <c r="BF8" s="4">
        <f t="shared" si="2"/>
        <v>3.0114047688159062E-2</v>
      </c>
      <c r="BG8" s="3">
        <f t="shared" si="3"/>
        <v>0.50234953281672068</v>
      </c>
      <c r="BH8" s="379">
        <v>0.9</v>
      </c>
      <c r="BI8" s="378" t="s">
        <v>100</v>
      </c>
      <c r="BJ8" s="378"/>
      <c r="BK8" s="378"/>
      <c r="BL8" s="378"/>
      <c r="BM8" s="378"/>
      <c r="BO8" s="392"/>
      <c r="BP8" s="158">
        <f t="shared" si="38"/>
        <v>40589</v>
      </c>
      <c r="BQ8" s="373">
        <f>IF($BA$32="d",'Profils de colonie'!I34,IF($BA$32="n",'Profils de colonie'!I62,IF($BA$32="p",'Profils de colonie'!I90,IF($BA$32="a",'Profils de colonie'!I118,IF($BA$32="b",'Profils de colonie'!I146,IF($BA$32="c",'Profils de colonie'!I174,IF($BA$32="r",'Profils de colonie'!I202,IF($BA$32="s",'Profils de colonie'!I230,IF($BA$32="f",'Profils de colonie'!I258,"erreur")))))))))</f>
        <v>7</v>
      </c>
      <c r="BR8">
        <f t="shared" si="4"/>
        <v>14000</v>
      </c>
      <c r="BS8" s="68">
        <f>IF($BA$32="d",'Profils de colonie'!G34,IF($BA$32="n",'Profils de colonie'!G62,IF($BA$32="p",'Profils de colonie'!G90,IF($BA$32="a",'Profils de colonie'!G118,IF($BA$32="b",'Profils de colonie'!G146,IF($BA$32="c",'Profils de colonie'!G174,IF($BA$32="r",'Profils de colonie'!G202,IF($BA$32="s",'Profils de colonie'!G230,IF($BA$32="f",'Profils de colonie'!G258,"erreur")))))))))</f>
        <v>0.75</v>
      </c>
      <c r="BT8" s="13">
        <f t="shared" si="5"/>
        <v>3375</v>
      </c>
      <c r="BU8" s="17">
        <f t="shared" si="6"/>
        <v>0.24107142857142858</v>
      </c>
      <c r="BV8">
        <f t="shared" si="39"/>
        <v>2025</v>
      </c>
      <c r="BW8" s="14">
        <f t="shared" si="40"/>
        <v>60.9809465685221</v>
      </c>
      <c r="BX8" s="14">
        <f t="shared" si="7"/>
        <v>168.75</v>
      </c>
      <c r="BY8" s="89">
        <f t="shared" si="41"/>
        <v>12.113310026453828</v>
      </c>
      <c r="BZ8" s="21">
        <f t="shared" si="8"/>
        <v>24.113310026453828</v>
      </c>
      <c r="CA8" s="26">
        <f t="shared" si="9"/>
        <v>0.50234953281672068</v>
      </c>
      <c r="CB8" s="103">
        <f t="shared" si="10"/>
        <v>0.49765046718327932</v>
      </c>
      <c r="CC8" s="22">
        <f t="shared" si="11"/>
        <v>61.917998400195103</v>
      </c>
      <c r="CD8" s="5">
        <f t="shared" si="12"/>
        <v>2025</v>
      </c>
      <c r="CE8" s="67">
        <f>IF($BA$32="d",'Profils de colonie'!K34,IF($BA$32="n",'Profils de colonie'!K62,IF($BA$32="p",'Profils de colonie'!K90,IF($BA$32="a",'Profils de colonie'!K118,IF($BA$32="b",'Profils de colonie'!K146,IF($BA$32="c",'Profils de colonie'!K174,IF($BA$32="r",'Profils de colonie'!K202,IF($BA$32="s",'Profils de colonie'!K202,IF($BA$32="f",'Profils de colonie'!K258,"erreur")))))))))</f>
        <v>0</v>
      </c>
      <c r="CF8" s="87">
        <f t="shared" si="42"/>
        <v>0</v>
      </c>
      <c r="CG8" s="63">
        <f t="shared" si="43"/>
        <v>0</v>
      </c>
      <c r="CH8" s="84">
        <f t="shared" si="44"/>
        <v>0</v>
      </c>
      <c r="CI8" s="60">
        <f t="shared" si="13"/>
        <v>0</v>
      </c>
      <c r="CJ8" s="61">
        <f t="shared" si="45"/>
        <v>0</v>
      </c>
      <c r="CK8" s="266">
        <f t="shared" si="14"/>
        <v>0</v>
      </c>
      <c r="CL8" s="267">
        <f t="shared" si="46"/>
        <v>0</v>
      </c>
      <c r="CM8" s="61">
        <f t="shared" si="15"/>
        <v>27.113310026453828</v>
      </c>
      <c r="CN8" s="265">
        <v>1</v>
      </c>
      <c r="CO8" s="71">
        <f t="shared" si="16"/>
        <v>4.2749999999999995</v>
      </c>
      <c r="CP8" s="65">
        <f t="shared" si="47"/>
        <v>9.8493837450082944E-2</v>
      </c>
      <c r="CQ8" s="85">
        <f t="shared" si="48"/>
        <v>0.49765046718327932</v>
      </c>
      <c r="CR8" s="59">
        <f t="shared" si="49"/>
        <v>2025</v>
      </c>
      <c r="CS8" s="59">
        <f t="shared" si="17"/>
        <v>61.917998400195103</v>
      </c>
      <c r="CT8" s="62">
        <f t="shared" si="18"/>
        <v>3.057678933342968E-2</v>
      </c>
      <c r="CU8" s="263">
        <f t="shared" si="19"/>
        <v>3.0114047688159062E-2</v>
      </c>
      <c r="CV8" s="265">
        <f t="shared" si="50"/>
        <v>1.0153325888788869</v>
      </c>
      <c r="CW8" s="64">
        <f t="shared" si="20"/>
        <v>1</v>
      </c>
      <c r="CX8" s="62">
        <f t="shared" si="21"/>
        <v>24.113310026453828</v>
      </c>
      <c r="CY8" s="264">
        <v>1</v>
      </c>
      <c r="CZ8" s="70">
        <f t="shared" si="51"/>
        <v>2.2586249999999999</v>
      </c>
      <c r="DA8" s="66">
        <f t="shared" si="22"/>
        <v>6.518049768398862E-2</v>
      </c>
      <c r="DB8" s="91">
        <f t="shared" si="23"/>
        <v>3.2437105123675591E-2</v>
      </c>
      <c r="DC8" s="23">
        <f t="shared" si="24"/>
        <v>-5.0125418235442863E-3</v>
      </c>
      <c r="DD8" s="28">
        <f t="shared" si="25"/>
        <v>2.7424563300131304E-2</v>
      </c>
      <c r="DE8" s="28"/>
      <c r="DF8" s="270">
        <f>IF(OR($BA$32="n",$BA$32="p"),0,DS7)</f>
        <v>124.42065763678137</v>
      </c>
      <c r="DG8" s="178">
        <f t="shared" si="26"/>
        <v>87.094460345746953</v>
      </c>
      <c r="DH8" s="178">
        <f>DG8*(1-EL7)</f>
        <v>87.094460345746953</v>
      </c>
      <c r="DI8" s="116">
        <f t="shared" si="52"/>
        <v>55.543202415448647</v>
      </c>
      <c r="DJ8" s="13">
        <f t="shared" si="53"/>
        <v>179.96386005223002</v>
      </c>
      <c r="DK8" s="199">
        <f t="shared" si="54"/>
        <v>13.209197398808385</v>
      </c>
      <c r="DL8" s="107">
        <f t="shared" si="27"/>
        <v>166.75466265342163</v>
      </c>
      <c r="DM8" s="182">
        <f>'Immigration de varroas'!E15</f>
        <v>0</v>
      </c>
      <c r="DN8" s="109">
        <f t="shared" si="55"/>
        <v>-8.0797103886216455</v>
      </c>
      <c r="DO8" s="82">
        <f t="shared" si="63"/>
        <v>-8.0797103886216455</v>
      </c>
      <c r="DP8" s="198">
        <f t="shared" si="28"/>
        <v>158.6749522648</v>
      </c>
      <c r="DQ8" s="278">
        <f>EN$33</f>
        <v>0</v>
      </c>
      <c r="DR8" s="107">
        <f t="shared" si="56"/>
        <v>0</v>
      </c>
      <c r="DS8" s="79">
        <f t="shared" si="29"/>
        <v>158.6749522648</v>
      </c>
      <c r="DT8" s="23">
        <f t="shared" si="30"/>
        <v>1.5990546388849801E-2</v>
      </c>
      <c r="DU8" s="158">
        <f t="shared" si="31"/>
        <v>40589</v>
      </c>
      <c r="DV8" s="74">
        <f t="shared" si="32"/>
        <v>62.502659236586268</v>
      </c>
      <c r="DW8" s="23">
        <f t="shared" si="33"/>
        <v>4.4644756597561619E-3</v>
      </c>
      <c r="DX8" s="114">
        <f t="shared" si="34"/>
        <v>1.4063098328231911</v>
      </c>
      <c r="DY8" s="179" t="str">
        <f t="shared" ref="DY8:DY29" si="65">IF((BS8&lt;0.25),DY7,IF(DY7=100,100,IF(CU6&gt;$AI$52,100,"")))</f>
        <v/>
      </c>
      <c r="DZ8" s="179" t="str">
        <f t="shared" ref="DZ8:DZ29" si="66">IF(DZ7=100,100,IF(BT8&lt;100,IF((DX6+DX7)&gt;$AI$53,100,""),""))</f>
        <v/>
      </c>
      <c r="EA8" s="179"/>
      <c r="EB8">
        <f t="shared" ref="EB8:EB29" si="67">SUM(DY8:EA8)</f>
        <v>0</v>
      </c>
      <c r="EC8" s="13">
        <f t="shared" si="57"/>
        <v>1016.2968750000001</v>
      </c>
      <c r="ED8" s="14">
        <f t="shared" si="58"/>
        <v>-2000</v>
      </c>
      <c r="EE8" s="13">
        <f t="shared" si="59"/>
        <v>3016.296875</v>
      </c>
      <c r="EF8" s="13">
        <f t="shared" si="64"/>
        <v>198.3318493150685</v>
      </c>
      <c r="EG8" s="17">
        <f t="shared" si="60"/>
        <v>0.6</v>
      </c>
      <c r="EH8" s="197">
        <f t="shared" si="61"/>
        <v>8.0797103886216455</v>
      </c>
      <c r="EJ8" s="13">
        <f t="shared" si="62"/>
        <v>55.543202415448647</v>
      </c>
      <c r="EK8" s="130">
        <v>0</v>
      </c>
      <c r="EL8" s="31">
        <f>EM$60</f>
        <v>0</v>
      </c>
      <c r="EP8" s="2">
        <v>40589</v>
      </c>
      <c r="EQ8" s="193">
        <v>42962</v>
      </c>
      <c r="ER8" s="14"/>
      <c r="ES8" s="17"/>
      <c r="ET8">
        <v>6.3</v>
      </c>
      <c r="EU8" s="14"/>
      <c r="EV8" s="14"/>
      <c r="EW8" s="14"/>
      <c r="EX8" s="14"/>
      <c r="EY8" s="14"/>
      <c r="EZ8" s="14"/>
      <c r="FA8" s="14"/>
      <c r="FB8" s="14"/>
      <c r="FC8" s="14"/>
      <c r="FD8" s="14"/>
      <c r="FE8" s="14"/>
      <c r="FF8" s="14"/>
      <c r="FG8" s="14"/>
      <c r="FH8" s="14"/>
      <c r="FI8" s="14"/>
      <c r="FJ8" s="14"/>
      <c r="FK8" s="14"/>
      <c r="FL8" s="14"/>
      <c r="FM8" s="14"/>
    </row>
    <row r="9" spans="2:169" ht="16.44">
      <c r="C9" s="284"/>
      <c r="AF9" s="274"/>
      <c r="AG9" s="282"/>
      <c r="BA9" s="288">
        <f t="shared" si="35"/>
        <v>40603</v>
      </c>
      <c r="BB9" s="48">
        <f t="shared" si="0"/>
        <v>158.6749522648</v>
      </c>
      <c r="BC9" s="222">
        <f t="shared" si="36"/>
        <v>1.862355532637135E-2</v>
      </c>
      <c r="BD9" s="173">
        <f t="shared" si="1"/>
        <v>0</v>
      </c>
      <c r="BE9" s="99">
        <f t="shared" si="37"/>
        <v>1.6807740031481844</v>
      </c>
      <c r="BF9" s="4">
        <f t="shared" si="2"/>
        <v>3.0622764625714116E-2</v>
      </c>
      <c r="BG9" s="3">
        <f t="shared" si="3"/>
        <v>0.47078045866951518</v>
      </c>
      <c r="BH9" s="380"/>
      <c r="BI9" s="378"/>
      <c r="BJ9" s="378"/>
      <c r="BK9" s="378"/>
      <c r="BL9" s="378"/>
      <c r="BM9" s="378"/>
      <c r="BO9" s="392"/>
      <c r="BP9" s="158">
        <f t="shared" si="38"/>
        <v>40603</v>
      </c>
      <c r="BQ9" s="373">
        <f>IF($BA$32="d",'Profils de colonie'!I35,IF($BA$32="n",'Profils de colonie'!I63,IF($BA$32="p",'Profils de colonie'!I91,IF($BA$32="a",'Profils de colonie'!I119,IF($BA$32="b",'Profils de colonie'!I147,IF($BA$32="c",'Profils de colonie'!I175,IF($BA$32="r",'Profils de colonie'!I203,IF($BA$32="s",'Profils de colonie'!I231,IF($BA$32="f",'Profils de colonie'!I259,"erreur")))))))))</f>
        <v>7</v>
      </c>
      <c r="BR9">
        <f t="shared" si="4"/>
        <v>14000</v>
      </c>
      <c r="BS9" s="68">
        <f>IF($BA$32="d",'Profils de colonie'!G35,IF($BA$32="n",'Profils de colonie'!G63,IF($BA$32="p",'Profils de colonie'!G91,IF($BA$32="a",'Profils de colonie'!G119,IF($BA$32="b",'Profils de colonie'!G147,IF($BA$32="c",'Profils de colonie'!G175,IF($BA$32="r",'Profils de colonie'!G203,IF($BA$32="s",'Profils de colonie'!G231,IF($BA$32="f",'Profils de colonie'!G259,"erreur")))))))))</f>
        <v>1</v>
      </c>
      <c r="BT9" s="13">
        <f t="shared" si="5"/>
        <v>4500</v>
      </c>
      <c r="BU9" s="17">
        <f t="shared" si="6"/>
        <v>0.32142857142857145</v>
      </c>
      <c r="BV9">
        <f t="shared" si="39"/>
        <v>2700</v>
      </c>
      <c r="BW9" s="14">
        <f t="shared" si="40"/>
        <v>82.681464489428109</v>
      </c>
      <c r="BX9" s="14">
        <f t="shared" si="7"/>
        <v>225</v>
      </c>
      <c r="BY9" s="89">
        <f t="shared" si="41"/>
        <v>10.674899664194921</v>
      </c>
      <c r="BZ9" s="21">
        <f t="shared" si="8"/>
        <v>22.674899664194921</v>
      </c>
      <c r="CA9" s="26">
        <f t="shared" si="9"/>
        <v>0.47078045866951518</v>
      </c>
      <c r="CB9" s="103">
        <f t="shared" si="10"/>
        <v>0.52921954133048477</v>
      </c>
      <c r="CC9" s="22">
        <f t="shared" si="11"/>
        <v>83.973885458214014</v>
      </c>
      <c r="CD9" s="5">
        <f t="shared" si="12"/>
        <v>2700</v>
      </c>
      <c r="CE9" s="67">
        <f>IF($BA$32="d",'Profils de colonie'!K35,IF($BA$32="n",'Profils de colonie'!K63,IF($BA$32="p",'Profils de colonie'!K91,IF($BA$32="a",'Profils de colonie'!K119,IF($BA$32="b",'Profils de colonie'!K147,IF($BA$32="c",'Profils de colonie'!K175,IF($BA$32="r",'Profils de colonie'!K203,IF($BA$32="s",'Profils de colonie'!K203,IF($BA$32="f",'Profils de colonie'!K259,"erreur")))))))))</f>
        <v>0</v>
      </c>
      <c r="CF9" s="87">
        <f t="shared" si="42"/>
        <v>0</v>
      </c>
      <c r="CG9" s="63">
        <f t="shared" si="43"/>
        <v>0</v>
      </c>
      <c r="CH9" s="84">
        <f t="shared" si="44"/>
        <v>0</v>
      </c>
      <c r="CI9" s="60">
        <f t="shared" si="13"/>
        <v>0</v>
      </c>
      <c r="CJ9" s="61">
        <f t="shared" si="45"/>
        <v>0</v>
      </c>
      <c r="CK9" s="266">
        <f t="shared" si="14"/>
        <v>0</v>
      </c>
      <c r="CL9" s="267">
        <f t="shared" si="46"/>
        <v>0</v>
      </c>
      <c r="CM9" s="61">
        <f t="shared" si="15"/>
        <v>25.674899664194921</v>
      </c>
      <c r="CN9" s="265">
        <v>1</v>
      </c>
      <c r="CO9" s="71">
        <f t="shared" si="16"/>
        <v>4.2749999999999995</v>
      </c>
      <c r="CP9" s="65">
        <f t="shared" si="47"/>
        <v>9.8493837450082944E-2</v>
      </c>
      <c r="CQ9" s="85">
        <f t="shared" si="48"/>
        <v>0.52921954133048477</v>
      </c>
      <c r="CR9" s="59">
        <f t="shared" si="49"/>
        <v>2700</v>
      </c>
      <c r="CS9" s="59">
        <f t="shared" si="17"/>
        <v>83.973885458214014</v>
      </c>
      <c r="CT9" s="62">
        <f t="shared" si="18"/>
        <v>3.1101439058597784E-2</v>
      </c>
      <c r="CU9" s="263">
        <f t="shared" si="19"/>
        <v>3.0622764625714116E-2</v>
      </c>
      <c r="CV9" s="265">
        <f t="shared" si="50"/>
        <v>1.0155981617127039</v>
      </c>
      <c r="CW9" s="64">
        <f t="shared" si="20"/>
        <v>1</v>
      </c>
      <c r="CX9" s="62">
        <f t="shared" si="21"/>
        <v>22.674899664194921</v>
      </c>
      <c r="CY9" s="264">
        <v>1</v>
      </c>
      <c r="CZ9" s="70">
        <f t="shared" si="51"/>
        <v>2.2586249999999999</v>
      </c>
      <c r="DA9" s="66">
        <f t="shared" si="22"/>
        <v>6.518049768398862E-2</v>
      </c>
      <c r="DB9" s="91">
        <f t="shared" si="23"/>
        <v>3.4494793088013183E-2</v>
      </c>
      <c r="DC9" s="23">
        <f t="shared" si="24"/>
        <v>-5.0125418235442863E-3</v>
      </c>
      <c r="DD9" s="28">
        <f t="shared" si="25"/>
        <v>2.9482251264468896E-2</v>
      </c>
      <c r="DE9" s="28"/>
      <c r="DF9" s="270">
        <f>IF(OR($BA$32="n",$BA$32="p"),0,DS8)</f>
        <v>158.6749522648</v>
      </c>
      <c r="DG9" s="178">
        <f t="shared" si="26"/>
        <v>111.07246658535999</v>
      </c>
      <c r="DH9" s="178">
        <f>DG9*(1-EL8)</f>
        <v>111.07246658535999</v>
      </c>
      <c r="DI9" s="116">
        <f t="shared" si="52"/>
        <v>76.617436997591824</v>
      </c>
      <c r="DJ9" s="13">
        <f t="shared" si="53"/>
        <v>235.29238926239182</v>
      </c>
      <c r="DK9" s="199">
        <f t="shared" si="54"/>
        <v>17.27026534828812</v>
      </c>
      <c r="DL9" s="107">
        <f t="shared" si="27"/>
        <v>218.0221239141037</v>
      </c>
      <c r="DM9" s="182">
        <f>'Immigration de varroas'!E16</f>
        <v>0</v>
      </c>
      <c r="DN9" s="109">
        <f t="shared" si="55"/>
        <v>-7.3946552683148914</v>
      </c>
      <c r="DO9" s="82">
        <f t="shared" si="63"/>
        <v>-7.3946552683148914</v>
      </c>
      <c r="DP9" s="198">
        <f t="shared" si="28"/>
        <v>210.62746864578881</v>
      </c>
      <c r="DQ9" s="278">
        <f>EO$33</f>
        <v>0</v>
      </c>
      <c r="DR9" s="107">
        <f t="shared" si="56"/>
        <v>0</v>
      </c>
      <c r="DS9" s="79">
        <f t="shared" si="29"/>
        <v>210.62746864578881</v>
      </c>
      <c r="DT9" s="23">
        <f t="shared" si="30"/>
        <v>1.862355532637135E-2</v>
      </c>
      <c r="DU9" s="158">
        <f t="shared" si="31"/>
        <v>40603</v>
      </c>
      <c r="DV9" s="74">
        <f t="shared" si="32"/>
        <v>74.70106680658597</v>
      </c>
      <c r="DW9" s="23">
        <f t="shared" si="33"/>
        <v>5.3357904861847123E-3</v>
      </c>
      <c r="DX9" s="114">
        <f t="shared" si="34"/>
        <v>1.6807740031481844</v>
      </c>
      <c r="DY9" s="179" t="str">
        <f t="shared" si="65"/>
        <v/>
      </c>
      <c r="DZ9" s="179" t="str">
        <f t="shared" si="66"/>
        <v/>
      </c>
      <c r="EA9" s="179"/>
      <c r="EB9">
        <f t="shared" si="67"/>
        <v>0</v>
      </c>
      <c r="EC9" s="13">
        <f t="shared" si="57"/>
        <v>2309.765625</v>
      </c>
      <c r="ED9" s="14">
        <f t="shared" si="58"/>
        <v>0</v>
      </c>
      <c r="EE9" s="13">
        <f t="shared" si="59"/>
        <v>2309.765625</v>
      </c>
      <c r="EF9" s="13">
        <f t="shared" si="64"/>
        <v>151.875</v>
      </c>
      <c r="EG9" s="17">
        <f t="shared" si="60"/>
        <v>0.6</v>
      </c>
      <c r="EH9" s="197">
        <f t="shared" si="61"/>
        <v>7.3946552683148914</v>
      </c>
      <c r="EJ9" s="13">
        <f t="shared" si="62"/>
        <v>76.617436997591824</v>
      </c>
      <c r="EK9" s="130">
        <v>0</v>
      </c>
      <c r="EL9" s="31">
        <f>EN$60</f>
        <v>0</v>
      </c>
      <c r="EP9" s="2">
        <v>40603</v>
      </c>
      <c r="EQ9" s="193">
        <v>42979</v>
      </c>
      <c r="ES9" s="17"/>
    </row>
    <row r="10" spans="2:169" ht="16" customHeight="1">
      <c r="C10" s="284"/>
      <c r="AF10" s="274"/>
      <c r="AG10" s="282"/>
      <c r="BA10" s="288">
        <f t="shared" si="35"/>
        <v>40617</v>
      </c>
      <c r="BB10" s="48">
        <f t="shared" si="0"/>
        <v>210.62746864578881</v>
      </c>
      <c r="BC10" s="222">
        <f t="shared" si="36"/>
        <v>2.3321869250677113E-2</v>
      </c>
      <c r="BD10" s="173">
        <f t="shared" si="1"/>
        <v>0</v>
      </c>
      <c r="BE10" s="99">
        <f t="shared" si="37"/>
        <v>1.9306319695748368</v>
      </c>
      <c r="BF10" s="4">
        <f t="shared" si="2"/>
        <v>2.5065615468121138E-2</v>
      </c>
      <c r="BG10" s="3">
        <f t="shared" si="3"/>
        <v>0.34918467675703302</v>
      </c>
      <c r="BH10" s="379">
        <v>0.9</v>
      </c>
      <c r="BI10" s="394" t="s">
        <v>101</v>
      </c>
      <c r="BJ10" s="395"/>
      <c r="BK10" s="395"/>
      <c r="BL10" s="395"/>
      <c r="BM10" s="396"/>
      <c r="BO10" s="392"/>
      <c r="BP10" s="158">
        <f t="shared" si="38"/>
        <v>40617</v>
      </c>
      <c r="BQ10" s="373">
        <f>IF($BA$32="d",'Profils de colonie'!I36,IF($BA$32="n",'Profils de colonie'!I64,IF($BA$32="p",'Profils de colonie'!I92,IF($BA$32="a",'Profils de colonie'!I120,IF($BA$32="b",'Profils de colonie'!I148,IF($BA$32="c",'Profils de colonie'!I176,IF($BA$32="r",'Profils de colonie'!I204,IF($BA$32="s",'Profils de colonie'!I232,IF($BA$32="f",'Profils de colonie'!I260,"erreur")))))))))</f>
        <v>6</v>
      </c>
      <c r="BR10">
        <f t="shared" si="4"/>
        <v>12000</v>
      </c>
      <c r="BS10" s="68">
        <f>IF($BA$32="d",'Profils de colonie'!G36,IF($BA$32="n",'Profils de colonie'!G64,IF($BA$32="p",'Profils de colonie'!G92,IF($BA$32="a",'Profils de colonie'!G120,IF($BA$32="b",'Profils de colonie'!G148,IF($BA$32="c",'Profils de colonie'!G176,IF($BA$32="r",'Profils de colonie'!G204,IF($BA$32="s",'Profils de colonie'!G232,IF($BA$32="f",'Profils de colonie'!G260,"erreur")))))))))</f>
        <v>2</v>
      </c>
      <c r="BT10" s="13">
        <f t="shared" si="5"/>
        <v>9000</v>
      </c>
      <c r="BU10" s="17">
        <f t="shared" si="6"/>
        <v>0.75</v>
      </c>
      <c r="BV10">
        <f t="shared" si="39"/>
        <v>5400</v>
      </c>
      <c r="BW10" s="14">
        <f t="shared" si="40"/>
        <v>135.35432352785415</v>
      </c>
      <c r="BX10" s="14">
        <f t="shared" si="7"/>
        <v>450</v>
      </c>
      <c r="BY10" s="89">
        <f t="shared" si="41"/>
        <v>6.4384103622589048</v>
      </c>
      <c r="BZ10" s="21">
        <f t="shared" si="8"/>
        <v>18.438410362258907</v>
      </c>
      <c r="CA10" s="26">
        <f t="shared" si="9"/>
        <v>0.34918467675703302</v>
      </c>
      <c r="CB10" s="103">
        <f t="shared" si="10"/>
        <v>0.65081532324296698</v>
      </c>
      <c r="CC10" s="22">
        <f t="shared" si="11"/>
        <v>137.07958409055695</v>
      </c>
      <c r="CD10" s="5">
        <f t="shared" si="12"/>
        <v>5400</v>
      </c>
      <c r="CE10" s="67">
        <f>IF($BA$32="d",'Profils de colonie'!K36,IF($BA$32="n",'Profils de colonie'!K64,IF($BA$32="p",'Profils de colonie'!K92,IF($BA$32="a",'Profils de colonie'!K120,IF($BA$32="b",'Profils de colonie'!K148,IF($BA$32="c",'Profils de colonie'!K176,IF($BA$32="r",'Profils de colonie'!K204,IF($BA$32="s",'Profils de colonie'!K204,IF($BA$32="f",'Profils de colonie'!K260,"erreur")))))))))</f>
        <v>0</v>
      </c>
      <c r="CF10" s="87">
        <f t="shared" si="42"/>
        <v>0</v>
      </c>
      <c r="CG10" s="63">
        <f t="shared" si="43"/>
        <v>0</v>
      </c>
      <c r="CH10" s="84">
        <f t="shared" si="44"/>
        <v>0</v>
      </c>
      <c r="CI10" s="60">
        <f t="shared" si="13"/>
        <v>0</v>
      </c>
      <c r="CJ10" s="61">
        <f t="shared" si="45"/>
        <v>0</v>
      </c>
      <c r="CK10" s="266">
        <f t="shared" si="14"/>
        <v>0</v>
      </c>
      <c r="CL10" s="267">
        <f t="shared" si="46"/>
        <v>0</v>
      </c>
      <c r="CM10" s="61">
        <f t="shared" si="15"/>
        <v>21.438410362258907</v>
      </c>
      <c r="CN10" s="265">
        <v>1</v>
      </c>
      <c r="CO10" s="71">
        <f t="shared" si="16"/>
        <v>4.2749999999999995</v>
      </c>
      <c r="CP10" s="65">
        <f t="shared" si="47"/>
        <v>9.8493837450082944E-2</v>
      </c>
      <c r="CQ10" s="85">
        <f t="shared" si="48"/>
        <v>0.65081532324296698</v>
      </c>
      <c r="CR10" s="59">
        <f t="shared" si="49"/>
        <v>5400</v>
      </c>
      <c r="CS10" s="59">
        <f t="shared" si="17"/>
        <v>137.07958409055695</v>
      </c>
      <c r="CT10" s="62">
        <f t="shared" si="18"/>
        <v>2.5385108164917954E-2</v>
      </c>
      <c r="CU10" s="263">
        <f t="shared" si="19"/>
        <v>2.5065615468121138E-2</v>
      </c>
      <c r="CV10" s="265">
        <f t="shared" si="50"/>
        <v>1.0127058516217262</v>
      </c>
      <c r="CW10" s="64">
        <f t="shared" si="20"/>
        <v>1</v>
      </c>
      <c r="CX10" s="62">
        <f t="shared" si="21"/>
        <v>18.438410362258907</v>
      </c>
      <c r="CY10" s="264">
        <v>1</v>
      </c>
      <c r="CZ10" s="70">
        <f t="shared" si="51"/>
        <v>2.2586249999999999</v>
      </c>
      <c r="DA10" s="66">
        <f t="shared" si="22"/>
        <v>6.518049768398862E-2</v>
      </c>
      <c r="DB10" s="91">
        <f t="shared" si="23"/>
        <v>4.2420466669342516E-2</v>
      </c>
      <c r="DC10" s="23">
        <f t="shared" si="24"/>
        <v>-5.0125418235442863E-3</v>
      </c>
      <c r="DD10" s="28">
        <f t="shared" si="25"/>
        <v>3.7407924845798232E-2</v>
      </c>
      <c r="DE10" s="28"/>
      <c r="DF10" s="270">
        <f>IF(OR($BA$32="n",$BA$32="p"),0,DS9)</f>
        <v>210.62746864578881</v>
      </c>
      <c r="DG10" s="178">
        <f t="shared" si="26"/>
        <v>147.43922805205216</v>
      </c>
      <c r="DH10" s="178">
        <f>DG10*(1-EL9)</f>
        <v>147.43922805205216</v>
      </c>
      <c r="DI10" s="116">
        <f t="shared" si="52"/>
        <v>133.61866548506168</v>
      </c>
      <c r="DJ10" s="13">
        <f t="shared" si="53"/>
        <v>344.24613413085046</v>
      </c>
      <c r="DK10" s="199">
        <f t="shared" si="54"/>
        <v>25.267379451581917</v>
      </c>
      <c r="DL10" s="107">
        <f t="shared" si="27"/>
        <v>318.97875467926855</v>
      </c>
      <c r="DM10" s="182">
        <f>'Immigration de varroas'!E17</f>
        <v>0</v>
      </c>
      <c r="DN10" s="109">
        <f t="shared" si="55"/>
        <v>-18.680013491332723</v>
      </c>
      <c r="DO10" s="82">
        <f t="shared" si="63"/>
        <v>-18.680013491332723</v>
      </c>
      <c r="DP10" s="198">
        <f t="shared" si="28"/>
        <v>300.29874118793583</v>
      </c>
      <c r="DQ10" s="278">
        <f>EP$33</f>
        <v>0</v>
      </c>
      <c r="DR10" s="107">
        <f t="shared" si="56"/>
        <v>0</v>
      </c>
      <c r="DS10" s="79">
        <f t="shared" si="29"/>
        <v>300.29874118793583</v>
      </c>
      <c r="DT10" s="23">
        <f t="shared" si="30"/>
        <v>2.3321869250677113E-2</v>
      </c>
      <c r="DU10" s="158">
        <f t="shared" si="31"/>
        <v>40617</v>
      </c>
      <c r="DV10" s="74">
        <f t="shared" si="32"/>
        <v>73.547884555231875</v>
      </c>
      <c r="DW10" s="23">
        <f t="shared" si="33"/>
        <v>6.1289903796026566E-3</v>
      </c>
      <c r="DX10" s="114">
        <f t="shared" si="34"/>
        <v>1.9306319695748368</v>
      </c>
      <c r="DY10" s="179" t="str">
        <f t="shared" si="65"/>
        <v/>
      </c>
      <c r="DZ10" s="179" t="str">
        <f t="shared" si="66"/>
        <v/>
      </c>
      <c r="EA10" s="179"/>
      <c r="EB10">
        <f t="shared" si="67"/>
        <v>0</v>
      </c>
      <c r="EC10" s="13">
        <f t="shared" si="57"/>
        <v>3079.6875</v>
      </c>
      <c r="ED10" s="14">
        <f t="shared" si="58"/>
        <v>-2000</v>
      </c>
      <c r="EE10" s="13">
        <f t="shared" si="59"/>
        <v>5079.6875</v>
      </c>
      <c r="EF10" s="13">
        <f t="shared" si="64"/>
        <v>334.00684931506851</v>
      </c>
      <c r="EG10" s="17">
        <f t="shared" si="60"/>
        <v>0.6</v>
      </c>
      <c r="EH10" s="197">
        <f t="shared" si="61"/>
        <v>18.680013491332723</v>
      </c>
      <c r="EJ10" s="13">
        <f t="shared" si="62"/>
        <v>133.61866548506168</v>
      </c>
      <c r="EK10" s="131">
        <f>EP$58</f>
        <v>68.664309318720015</v>
      </c>
      <c r="EL10" s="31">
        <f>EO$60</f>
        <v>0</v>
      </c>
      <c r="EP10" s="2">
        <v>40617</v>
      </c>
      <c r="EQ10" s="193">
        <v>42993</v>
      </c>
      <c r="ES10" s="17"/>
      <c r="ET10">
        <v>10.08</v>
      </c>
    </row>
    <row r="11" spans="2:169" ht="16.44">
      <c r="C11" s="284"/>
      <c r="AF11" s="274"/>
      <c r="AG11" s="282"/>
      <c r="BA11" s="288">
        <f t="shared" si="35"/>
        <v>40634</v>
      </c>
      <c r="BB11" s="48">
        <f t="shared" si="0"/>
        <v>300.29874118793583</v>
      </c>
      <c r="BC11" s="222">
        <f t="shared" si="36"/>
        <v>3.018934019778817E-2</v>
      </c>
      <c r="BD11" s="173">
        <f t="shared" si="1"/>
        <v>0</v>
      </c>
      <c r="BE11" s="99">
        <f t="shared" si="37"/>
        <v>2.1188047519507256</v>
      </c>
      <c r="BF11" s="4">
        <f t="shared" si="2"/>
        <v>2.4676640390052573E-2</v>
      </c>
      <c r="BG11" s="3">
        <f t="shared" si="3"/>
        <v>0.26878691260437249</v>
      </c>
      <c r="BH11" s="380"/>
      <c r="BI11" s="397"/>
      <c r="BJ11" s="398"/>
      <c r="BK11" s="398"/>
      <c r="BL11" s="398"/>
      <c r="BM11" s="399"/>
      <c r="BO11" s="392"/>
      <c r="BP11" s="158">
        <f t="shared" si="38"/>
        <v>40634</v>
      </c>
      <c r="BQ11" s="373">
        <f>IF($BA$32="d",'Profils de colonie'!I37,IF($BA$32="n",'Profils de colonie'!I65,IF($BA$32="p",'Profils de colonie'!I93,IF($BA$32="a",'Profils de colonie'!I121,IF($BA$32="b",'Profils de colonie'!I149,IF($BA$32="c",'Profils de colonie'!I177,IF($BA$32="r",'Profils de colonie'!I205,IF($BA$32="s",'Profils de colonie'!I233,IF($BA$32="f",'Profils de colonie'!I261,"erreur")))))))))</f>
        <v>6</v>
      </c>
      <c r="BR11">
        <f t="shared" si="4"/>
        <v>12000</v>
      </c>
      <c r="BS11" s="68">
        <f>IF($BA$32="d",'Profils de colonie'!G37,IF($BA$32="n",'Profils de colonie'!G65,IF($BA$32="p",'Profils de colonie'!G93,IF($BA$32="a",'Profils de colonie'!G121,IF($BA$32="b",'Profils de colonie'!G149,IF($BA$32="c",'Profils de colonie'!G177,IF($BA$32="r",'Profils de colonie'!G205,IF($BA$32="s",'Profils de colonie'!G233,IF($BA$32="f",'Profils de colonie'!G261,"erreur")))))))))</f>
        <v>3</v>
      </c>
      <c r="BT11" s="13">
        <f t="shared" si="5"/>
        <v>13500</v>
      </c>
      <c r="BU11" s="17">
        <f t="shared" si="6"/>
        <v>1.125</v>
      </c>
      <c r="BV11">
        <f t="shared" si="39"/>
        <v>8100</v>
      </c>
      <c r="BW11" s="14">
        <f t="shared" si="40"/>
        <v>199.88078715942584</v>
      </c>
      <c r="BX11" s="14">
        <f t="shared" si="7"/>
        <v>675</v>
      </c>
      <c r="BY11" s="89">
        <f t="shared" si="41"/>
        <v>4.4110848217180827</v>
      </c>
      <c r="BZ11" s="21">
        <f t="shared" si="8"/>
        <v>16.411084821718084</v>
      </c>
      <c r="CA11" s="26">
        <f t="shared" si="9"/>
        <v>0.26878691260437249</v>
      </c>
      <c r="CB11" s="103">
        <f t="shared" si="10"/>
        <v>0.73121308739562751</v>
      </c>
      <c r="CC11" s="22">
        <f t="shared" si="11"/>
        <v>219.58236968505105</v>
      </c>
      <c r="CD11" s="5">
        <f t="shared" si="12"/>
        <v>8100</v>
      </c>
      <c r="CE11" s="67">
        <f>IF($BA$32="d",'Profils de colonie'!K37,IF($BA$32="n",'Profils de colonie'!K65,IF($BA$32="p",'Profils de colonie'!K93,IF($BA$32="a",'Profils de colonie'!K121,IF($BA$32="b",'Profils de colonie'!K149,IF($BA$32="c",'Profils de colonie'!K177,IF($BA$32="r",'Profils de colonie'!K205,IF($BA$32="s",'Profils de colonie'!K205,IF($BA$32="f",'Profils de colonie'!K261,"erreur")))))))))</f>
        <v>0.03</v>
      </c>
      <c r="CF11" s="87">
        <f t="shared" si="42"/>
        <v>1.9199999999999998E-2</v>
      </c>
      <c r="CG11" s="63">
        <f t="shared" si="43"/>
        <v>9.5999999999999988E-2</v>
      </c>
      <c r="CH11" s="84">
        <f t="shared" si="44"/>
        <v>7.0196456389980233E-2</v>
      </c>
      <c r="CI11" s="60">
        <f t="shared" si="13"/>
        <v>21.079907489764899</v>
      </c>
      <c r="CJ11" s="61">
        <f t="shared" si="45"/>
        <v>0.13554467264509323</v>
      </c>
      <c r="CK11" s="266">
        <f t="shared" si="14"/>
        <v>0.12675984789026884</v>
      </c>
      <c r="CL11" s="267">
        <f t="shared" si="46"/>
        <v>1.0693028975739154</v>
      </c>
      <c r="CM11" s="61">
        <f t="shared" si="15"/>
        <v>19.411084821718084</v>
      </c>
      <c r="CN11" s="265">
        <v>1</v>
      </c>
      <c r="CO11" s="71">
        <f t="shared" si="16"/>
        <v>4.2749999999999995</v>
      </c>
      <c r="CP11" s="65">
        <f t="shared" si="47"/>
        <v>9.8493837450082944E-2</v>
      </c>
      <c r="CQ11" s="85">
        <f t="shared" si="48"/>
        <v>0.66101663100564734</v>
      </c>
      <c r="CR11" s="59">
        <f t="shared" si="49"/>
        <v>7944.4800000000005</v>
      </c>
      <c r="CS11" s="59">
        <f t="shared" si="17"/>
        <v>198.50246219528614</v>
      </c>
      <c r="CT11" s="62">
        <f t="shared" si="18"/>
        <v>2.4986212086289615E-2</v>
      </c>
      <c r="CU11" s="263">
        <f t="shared" si="19"/>
        <v>2.4676640390052573E-2</v>
      </c>
      <c r="CV11" s="265">
        <f t="shared" si="50"/>
        <v>1.0125041005282427</v>
      </c>
      <c r="CW11" s="64">
        <f t="shared" si="20"/>
        <v>0.90400000000000003</v>
      </c>
      <c r="CX11" s="62">
        <f t="shared" si="21"/>
        <v>16.411084821718084</v>
      </c>
      <c r="CY11" s="264">
        <v>1</v>
      </c>
      <c r="CZ11" s="70">
        <f t="shared" si="51"/>
        <v>2.2586249999999999</v>
      </c>
      <c r="DA11" s="66">
        <f t="shared" si="22"/>
        <v>6.518049768398862E-2</v>
      </c>
      <c r="DB11" s="91">
        <f t="shared" si="23"/>
        <v>4.9999311351588104E-2</v>
      </c>
      <c r="DC11" s="23">
        <f t="shared" si="24"/>
        <v>-5.0125418235442863E-3</v>
      </c>
      <c r="DD11" s="28">
        <f t="shared" si="25"/>
        <v>4.498676952804382E-2</v>
      </c>
      <c r="DE11" s="28"/>
      <c r="DF11" s="271">
        <f>IF(OR($BA$32="n",$BA$32="p"),BA33,DS10)</f>
        <v>300.29874118793583</v>
      </c>
      <c r="DG11" s="178">
        <f t="shared" si="26"/>
        <v>210.20911883155506</v>
      </c>
      <c r="DH11" s="271">
        <f>IF(OR($BA$32="n",$BA$32="p"),(DG11*(1-0.5)),(DG11*(1-EL10)))</f>
        <v>210.20911883155506</v>
      </c>
      <c r="DI11" s="116">
        <f t="shared" si="52"/>
        <v>239.45865632138995</v>
      </c>
      <c r="DJ11" s="13">
        <f t="shared" si="53"/>
        <v>539.75739750932576</v>
      </c>
      <c r="DK11" s="199">
        <f t="shared" si="54"/>
        <v>39.617743301897065</v>
      </c>
      <c r="DL11" s="107">
        <f t="shared" si="27"/>
        <v>500.13965420742869</v>
      </c>
      <c r="DM11" s="182">
        <f>'Immigration de varroas'!E18</f>
        <v>0</v>
      </c>
      <c r="DN11" s="109">
        <f t="shared" si="55"/>
        <v>-24.85812003627905</v>
      </c>
      <c r="DO11" s="82">
        <f t="shared" si="63"/>
        <v>-24.85812003627905</v>
      </c>
      <c r="DP11" s="198">
        <f t="shared" si="28"/>
        <v>475.28153417114964</v>
      </c>
      <c r="DQ11" s="278">
        <f>EQ$33</f>
        <v>0</v>
      </c>
      <c r="DR11" s="107">
        <f t="shared" si="56"/>
        <v>0</v>
      </c>
      <c r="DS11" s="79">
        <f t="shared" si="29"/>
        <v>475.28153417114964</v>
      </c>
      <c r="DT11" s="23">
        <f t="shared" si="30"/>
        <v>3.018934019778817E-2</v>
      </c>
      <c r="DU11" s="158">
        <f t="shared" si="31"/>
        <v>40634</v>
      </c>
      <c r="DV11" s="74">
        <f t="shared" si="32"/>
        <v>80.716371502884783</v>
      </c>
      <c r="DW11" s="23">
        <f t="shared" si="33"/>
        <v>6.7263642919070657E-3</v>
      </c>
      <c r="DX11" s="114">
        <f t="shared" si="34"/>
        <v>2.1188047519507256</v>
      </c>
      <c r="DY11" s="179" t="str">
        <f t="shared" si="65"/>
        <v/>
      </c>
      <c r="DZ11" s="179" t="str">
        <f t="shared" si="66"/>
        <v/>
      </c>
      <c r="EA11" s="179"/>
      <c r="EB11">
        <f t="shared" si="67"/>
        <v>0</v>
      </c>
      <c r="EC11" s="13">
        <f t="shared" si="57"/>
        <v>6159.375</v>
      </c>
      <c r="ED11" s="14">
        <f t="shared" si="58"/>
        <v>0</v>
      </c>
      <c r="EE11" s="13">
        <f t="shared" si="59"/>
        <v>6159.375</v>
      </c>
      <c r="EF11" s="13">
        <f t="shared" si="64"/>
        <v>405</v>
      </c>
      <c r="EG11" s="17">
        <f t="shared" si="60"/>
        <v>0.6</v>
      </c>
      <c r="EH11" s="197">
        <f t="shared" si="61"/>
        <v>24.85812003627905</v>
      </c>
      <c r="EJ11" s="13">
        <f t="shared" si="62"/>
        <v>239.45865632138995</v>
      </c>
      <c r="EK11" s="131">
        <f>EQ$58</f>
        <v>74.408914049046359</v>
      </c>
      <c r="EL11" s="272">
        <f>IF(OR($BA$32="n",$BA$32="p"),0.15,EP60)</f>
        <v>0.19007351772533218</v>
      </c>
      <c r="EP11" s="2">
        <v>40634</v>
      </c>
      <c r="EQ11" s="193">
        <v>43009</v>
      </c>
      <c r="ES11" s="17"/>
    </row>
    <row r="12" spans="2:169" ht="16" customHeight="1">
      <c r="C12" s="284"/>
      <c r="AF12" s="274"/>
      <c r="AG12" s="282"/>
      <c r="BA12" s="288">
        <f t="shared" si="35"/>
        <v>40648</v>
      </c>
      <c r="BB12" s="48">
        <f t="shared" si="0"/>
        <v>475.28153417114964</v>
      </c>
      <c r="BC12" s="222">
        <f t="shared" si="36"/>
        <v>3.0616145686081425E-2</v>
      </c>
      <c r="BD12" s="173">
        <f t="shared" si="1"/>
        <v>0</v>
      </c>
      <c r="BE12" s="99">
        <f t="shared" si="37"/>
        <v>2.0159762222785864</v>
      </c>
      <c r="BF12" s="4">
        <f t="shared" si="2"/>
        <v>2.2941690139164694E-2</v>
      </c>
      <c r="BG12" s="3">
        <f t="shared" si="3"/>
        <v>0.21544870751458203</v>
      </c>
      <c r="BH12" s="379">
        <v>0.5</v>
      </c>
      <c r="BI12" s="378" t="s">
        <v>102</v>
      </c>
      <c r="BJ12" s="378"/>
      <c r="BK12" s="378"/>
      <c r="BL12" s="378"/>
      <c r="BM12" s="378"/>
      <c r="BO12" s="392"/>
      <c r="BP12" s="158">
        <f t="shared" si="38"/>
        <v>40648</v>
      </c>
      <c r="BQ12" s="373">
        <f>IF($BA$32="d",'Profils de colonie'!I38,IF($BA$32="n",'Profils de colonie'!I66,IF($BA$32="p",'Profils de colonie'!I94,IF($BA$32="a",'Profils de colonie'!I122,IF($BA$32="b",'Profils de colonie'!I150,IF($BA$32="c",'Profils de colonie'!I178,IF($BA$32="r",'Profils de colonie'!I206,IF($BA$32="s",'Profils de colonie'!I234,IF($BA$32="f",'Profils de colonie'!I262,"erreur")))))))))</f>
        <v>8</v>
      </c>
      <c r="BR12">
        <f t="shared" si="4"/>
        <v>16000</v>
      </c>
      <c r="BS12" s="68">
        <f>IF($BA$32="d",'Profils de colonie'!G38,IF($BA$32="n",'Profils de colonie'!G66,IF($BA$32="p",'Profils de colonie'!G94,IF($BA$32="a",'Profils de colonie'!G122,IF($BA$32="b",'Profils de colonie'!G150,IF($BA$32="c",'Profils de colonie'!G178,IF($BA$32="r",'Profils de colonie'!G206,IF($BA$32="s",'Profils de colonie'!G234,IF($BA$32="f",'Profils de colonie'!G262,"erreur")))))))))</f>
        <v>5</v>
      </c>
      <c r="BT12" s="13">
        <f t="shared" si="5"/>
        <v>22500</v>
      </c>
      <c r="BU12" s="17">
        <f t="shared" si="6"/>
        <v>1.40625</v>
      </c>
      <c r="BV12">
        <f t="shared" si="39"/>
        <v>13500</v>
      </c>
      <c r="BW12" s="14">
        <f t="shared" si="40"/>
        <v>309.7128168787234</v>
      </c>
      <c r="BX12" s="14">
        <f t="shared" si="7"/>
        <v>1125</v>
      </c>
      <c r="BY12" s="89">
        <f t="shared" si="41"/>
        <v>3.2953670651470341</v>
      </c>
      <c r="BZ12" s="21">
        <f t="shared" si="8"/>
        <v>15.295367065147033</v>
      </c>
      <c r="CA12" s="26">
        <f t="shared" si="9"/>
        <v>0.21544870751458203</v>
      </c>
      <c r="CB12" s="103">
        <f t="shared" si="10"/>
        <v>0.78455129248541799</v>
      </c>
      <c r="CC12" s="22">
        <f t="shared" si="11"/>
        <v>372.88274192842783</v>
      </c>
      <c r="CD12" s="5">
        <f t="shared" si="12"/>
        <v>13500</v>
      </c>
      <c r="CE12" s="67">
        <f>IF($BA$32="d",'Profils de colonie'!K38,IF($BA$32="n",'Profils de colonie'!K66,IF($BA$32="p",'Profils de colonie'!K94,IF($BA$32="a",'Profils de colonie'!K122,IF($BA$32="b",'Profils de colonie'!K150,IF($BA$32="c",'Profils de colonie'!K178,IF($BA$32="r",'Profils de colonie'!K206,IF($BA$32="s",'Profils de colonie'!K206,IF($BA$32="f",'Profils de colonie'!K262,"erreur")))))))))</f>
        <v>0.06</v>
      </c>
      <c r="CF12" s="87">
        <f t="shared" si="42"/>
        <v>3.8399999999999997E-2</v>
      </c>
      <c r="CG12" s="63">
        <f t="shared" si="43"/>
        <v>0.19199999999999998</v>
      </c>
      <c r="CH12" s="84">
        <f t="shared" si="44"/>
        <v>0.15063384815720024</v>
      </c>
      <c r="CI12" s="60">
        <f t="shared" si="13"/>
        <v>71.593486450258141</v>
      </c>
      <c r="CJ12" s="61">
        <f t="shared" si="45"/>
        <v>0.13810471923275106</v>
      </c>
      <c r="CK12" s="266">
        <f t="shared" si="14"/>
        <v>0.12899252426473307</v>
      </c>
      <c r="CL12" s="267">
        <f t="shared" si="46"/>
        <v>1.0706412640574186</v>
      </c>
      <c r="CM12" s="61">
        <f t="shared" si="15"/>
        <v>18.295367065147033</v>
      </c>
      <c r="CN12" s="265">
        <v>1</v>
      </c>
      <c r="CO12" s="71">
        <f t="shared" si="16"/>
        <v>4.2749999999999995</v>
      </c>
      <c r="CP12" s="65">
        <f t="shared" si="47"/>
        <v>9.8493837450082944E-2</v>
      </c>
      <c r="CQ12" s="85">
        <f t="shared" si="48"/>
        <v>0.63391744432821773</v>
      </c>
      <c r="CR12" s="59">
        <f t="shared" si="49"/>
        <v>12981.6</v>
      </c>
      <c r="CS12" s="59">
        <f t="shared" si="17"/>
        <v>301.28925547816971</v>
      </c>
      <c r="CT12" s="62">
        <f t="shared" si="18"/>
        <v>2.3208946160578794E-2</v>
      </c>
      <c r="CU12" s="263">
        <f t="shared" si="19"/>
        <v>2.2941690139164694E-2</v>
      </c>
      <c r="CV12" s="265">
        <f t="shared" si="50"/>
        <v>1.0116052659822827</v>
      </c>
      <c r="CW12" s="64">
        <f t="shared" si="20"/>
        <v>0.80800000000000005</v>
      </c>
      <c r="CX12" s="62">
        <f t="shared" si="21"/>
        <v>15.295367065147033</v>
      </c>
      <c r="CY12" s="264">
        <v>1</v>
      </c>
      <c r="CZ12" s="70">
        <f t="shared" si="51"/>
        <v>2.2586249999999999</v>
      </c>
      <c r="DA12" s="66">
        <f t="shared" si="22"/>
        <v>6.518049768398862E-2</v>
      </c>
      <c r="DB12" s="91">
        <f t="shared" si="23"/>
        <v>5.6155560266751142E-2</v>
      </c>
      <c r="DC12" s="23">
        <f t="shared" si="24"/>
        <v>-5.0125418235442863E-3</v>
      </c>
      <c r="DD12" s="28">
        <f t="shared" si="25"/>
        <v>5.1143018443206859E-2</v>
      </c>
      <c r="DE12" s="28"/>
      <c r="DF12" s="270">
        <f>DS11</f>
        <v>475.28153417114964</v>
      </c>
      <c r="DG12" s="178">
        <f t="shared" si="26"/>
        <v>332.69707391980472</v>
      </c>
      <c r="DH12" s="271">
        <f>IF(OR($BA$32="n",$BA$32="p"),(DG12*(1-0.25)),(DG12*(1-EL11)))</f>
        <v>269.46017074294258</v>
      </c>
      <c r="DI12" s="116">
        <f t="shared" si="52"/>
        <v>363.52884483293138</v>
      </c>
      <c r="DJ12" s="13">
        <f t="shared" si="53"/>
        <v>838.81037900408103</v>
      </c>
      <c r="DK12" s="199">
        <f t="shared" si="54"/>
        <v>61.567983000689651</v>
      </c>
      <c r="DL12" s="107">
        <f t="shared" si="27"/>
        <v>777.24239600339138</v>
      </c>
      <c r="DM12" s="182">
        <f>'Immigration de varroas'!E19</f>
        <v>0</v>
      </c>
      <c r="DN12" s="109">
        <f t="shared" si="55"/>
        <v>-20.11776271815506</v>
      </c>
      <c r="DO12" s="82">
        <f t="shared" si="63"/>
        <v>-20.11776271815506</v>
      </c>
      <c r="DP12" s="198">
        <f t="shared" si="28"/>
        <v>757.12463328523631</v>
      </c>
      <c r="DQ12" s="278">
        <f>ER$33</f>
        <v>0</v>
      </c>
      <c r="DR12" s="107">
        <f t="shared" si="56"/>
        <v>0</v>
      </c>
      <c r="DS12" s="79">
        <f t="shared" si="29"/>
        <v>757.12463328523631</v>
      </c>
      <c r="DT12" s="23">
        <f t="shared" si="30"/>
        <v>3.0616145686081425E-2</v>
      </c>
      <c r="DU12" s="158">
        <f t="shared" si="31"/>
        <v>40648</v>
      </c>
      <c r="DV12" s="74">
        <f t="shared" si="32"/>
        <v>102.39879224272184</v>
      </c>
      <c r="DW12" s="23">
        <f t="shared" si="33"/>
        <v>6.3999245151701153E-3</v>
      </c>
      <c r="DX12" s="114">
        <f t="shared" si="34"/>
        <v>2.0159762222785864</v>
      </c>
      <c r="DY12" s="179" t="str">
        <f t="shared" si="65"/>
        <v/>
      </c>
      <c r="DZ12" s="179" t="str">
        <f t="shared" si="66"/>
        <v/>
      </c>
      <c r="EA12" s="179"/>
      <c r="EB12">
        <f t="shared" si="67"/>
        <v>0</v>
      </c>
      <c r="EC12" s="13">
        <f t="shared" si="57"/>
        <v>9239.0625</v>
      </c>
      <c r="ED12" s="14">
        <f t="shared" si="58"/>
        <v>4000</v>
      </c>
      <c r="EE12" s="13">
        <f t="shared" si="59"/>
        <v>5239.0625</v>
      </c>
      <c r="EF12" s="13">
        <f t="shared" si="64"/>
        <v>344.48630136986299</v>
      </c>
      <c r="EG12" s="17">
        <f t="shared" si="60"/>
        <v>0.6</v>
      </c>
      <c r="EH12" s="197">
        <f t="shared" si="61"/>
        <v>20.11776271815506</v>
      </c>
      <c r="EJ12" s="13">
        <f t="shared" si="62"/>
        <v>363.52884483293138</v>
      </c>
      <c r="EK12" s="131">
        <f>ER$58</f>
        <v>93.589327164010868</v>
      </c>
      <c r="EL12" s="31">
        <f>EQ$60</f>
        <v>0.12950947508180505</v>
      </c>
      <c r="EP12" s="2">
        <v>40648</v>
      </c>
      <c r="EQ12" s="193">
        <v>43023</v>
      </c>
      <c r="ES12" s="17">
        <v>0.62</v>
      </c>
      <c r="ET12">
        <v>7.875</v>
      </c>
    </row>
    <row r="13" spans="2:169" ht="16.44">
      <c r="C13" s="284"/>
      <c r="AF13" s="274"/>
      <c r="AG13" s="282"/>
      <c r="BA13" s="288">
        <f t="shared" si="35"/>
        <v>40664</v>
      </c>
      <c r="BB13" s="48">
        <f t="shared" si="0"/>
        <v>757.12463328523631</v>
      </c>
      <c r="BC13" s="222">
        <f t="shared" si="36"/>
        <v>2.9958220404736884E-2</v>
      </c>
      <c r="BD13" s="173">
        <f t="shared" si="1"/>
        <v>0</v>
      </c>
      <c r="BE13" s="99">
        <f t="shared" si="37"/>
        <v>2.6979622282267659</v>
      </c>
      <c r="BF13" s="4">
        <f t="shared" si="2"/>
        <v>2.9066463745285764E-2</v>
      </c>
      <c r="BG13" s="3">
        <f t="shared" si="3"/>
        <v>0.24887462343620659</v>
      </c>
      <c r="BH13" s="380"/>
      <c r="BI13" s="378"/>
      <c r="BJ13" s="378"/>
      <c r="BK13" s="378"/>
      <c r="BL13" s="378"/>
      <c r="BM13" s="378"/>
      <c r="BO13" s="392"/>
      <c r="BP13" s="158">
        <f t="shared" si="38"/>
        <v>40664</v>
      </c>
      <c r="BQ13" s="373">
        <f>IF($BA$32="d",'Profils de colonie'!I39,IF($BA$32="n",'Profils de colonie'!I67,IF($BA$32="p",'Profils de colonie'!I95,IF($BA$32="a",'Profils de colonie'!I123,IF($BA$32="b",'Profils de colonie'!I151,IF($BA$32="c",'Profils de colonie'!I179,IF($BA$32="r",'Profils de colonie'!I207,IF($BA$32="s",'Profils de colonie'!I235,IF($BA$32="f",'Profils de colonie'!I263,"erreur")))))))))</f>
        <v>11</v>
      </c>
      <c r="BR13">
        <f t="shared" si="4"/>
        <v>22000</v>
      </c>
      <c r="BS13" s="68">
        <f>IF($BA$32="d",'Profils de colonie'!G39,IF($BA$32="n",'Profils de colonie'!G67,IF($BA$32="p",'Profils de colonie'!G95,IF($BA$32="a",'Profils de colonie'!G123,IF($BA$32="b",'Profils de colonie'!G151,IF($BA$32="c",'Profils de colonie'!G179,IF($BA$32="r",'Profils de colonie'!G207,IF($BA$32="s",'Profils de colonie'!G235,IF($BA$32="f",'Profils de colonie'!G263,"erreur")))))))))</f>
        <v>6</v>
      </c>
      <c r="BT13" s="13">
        <f t="shared" si="5"/>
        <v>27000</v>
      </c>
      <c r="BU13" s="17">
        <f t="shared" si="6"/>
        <v>1.2272727272727273</v>
      </c>
      <c r="BV13">
        <f t="shared" si="39"/>
        <v>16200</v>
      </c>
      <c r="BW13" s="14">
        <f t="shared" si="40"/>
        <v>470.87671267362936</v>
      </c>
      <c r="BX13" s="14">
        <f t="shared" si="7"/>
        <v>1350</v>
      </c>
      <c r="BY13" s="89">
        <f t="shared" si="41"/>
        <v>3.9760279367699338</v>
      </c>
      <c r="BZ13" s="21">
        <f t="shared" si="8"/>
        <v>15.976027936769935</v>
      </c>
      <c r="CA13" s="26">
        <f t="shared" si="9"/>
        <v>0.24887462343620659</v>
      </c>
      <c r="CB13" s="103">
        <f t="shared" si="10"/>
        <v>0.75112537656379341</v>
      </c>
      <c r="CC13" s="22">
        <f t="shared" si="11"/>
        <v>568.69552528209715</v>
      </c>
      <c r="CD13" s="5">
        <f t="shared" si="12"/>
        <v>16200</v>
      </c>
      <c r="CE13" s="67">
        <f>IF($BA$32="d",'Profils de colonie'!K39,IF($BA$32="n",'Profils de colonie'!K67,IF($BA$32="p",'Profils de colonie'!K95,IF($BA$32="a",'Profils de colonie'!K123,IF($BA$32="b",'Profils de colonie'!K151,IF($BA$32="c",'Profils de colonie'!K179,IF($BA$32="r",'Profils de colonie'!K207,IF($BA$32="s",'Profils de colonie'!K207,IF($BA$32="f",'Profils de colonie'!K263,"erreur")))))))))</f>
        <v>0.06</v>
      </c>
      <c r="CF13" s="87">
        <f t="shared" si="42"/>
        <v>3.8399999999999997E-2</v>
      </c>
      <c r="CG13" s="63">
        <f t="shared" si="43"/>
        <v>0.19199999999999998</v>
      </c>
      <c r="CH13" s="84">
        <f t="shared" si="44"/>
        <v>0.14421607230024833</v>
      </c>
      <c r="CI13" s="60">
        <f t="shared" si="13"/>
        <v>109.18954085416264</v>
      </c>
      <c r="CJ13" s="61">
        <f t="shared" si="45"/>
        <v>0.17552331027225221</v>
      </c>
      <c r="CK13" s="266">
        <f t="shared" si="14"/>
        <v>0.1609821607887425</v>
      </c>
      <c r="CL13" s="267">
        <f t="shared" si="46"/>
        <v>1.0903277071960298</v>
      </c>
      <c r="CM13" s="61">
        <f t="shared" si="15"/>
        <v>18.976027936769935</v>
      </c>
      <c r="CN13" s="265">
        <v>1</v>
      </c>
      <c r="CO13" s="71">
        <f t="shared" si="16"/>
        <v>4.2749999999999995</v>
      </c>
      <c r="CP13" s="65">
        <f t="shared" si="47"/>
        <v>9.8493837450082944E-2</v>
      </c>
      <c r="CQ13" s="85">
        <f t="shared" si="48"/>
        <v>0.60690930426354506</v>
      </c>
      <c r="CR13" s="59">
        <f t="shared" si="49"/>
        <v>15577.92</v>
      </c>
      <c r="CS13" s="59">
        <f t="shared" si="17"/>
        <v>459.50598442793449</v>
      </c>
      <c r="CT13" s="62">
        <f>CS13/CR13</f>
        <v>2.9497261792841054E-2</v>
      </c>
      <c r="CU13" s="263">
        <f t="shared" si="19"/>
        <v>2.9066463745285764E-2</v>
      </c>
      <c r="CV13" s="265">
        <f t="shared" si="50"/>
        <v>1.0147862246022408</v>
      </c>
      <c r="CW13" s="64">
        <f t="shared" si="20"/>
        <v>0.80800000000000005</v>
      </c>
      <c r="CX13" s="62">
        <f t="shared" si="21"/>
        <v>15.976027936769935</v>
      </c>
      <c r="CY13" s="264">
        <v>1</v>
      </c>
      <c r="CZ13" s="70">
        <f t="shared" si="51"/>
        <v>2.2586249999999999</v>
      </c>
      <c r="DA13" s="66">
        <f t="shared" si="22"/>
        <v>6.518049768398862E-2</v>
      </c>
      <c r="DB13" s="91">
        <f t="shared" si="23"/>
        <v>5.3763044883771212E-2</v>
      </c>
      <c r="DC13" s="23">
        <f t="shared" si="24"/>
        <v>-5.0125418235442863E-3</v>
      </c>
      <c r="DD13" s="28">
        <f t="shared" si="25"/>
        <v>4.8750503060226928E-2</v>
      </c>
      <c r="DE13" s="28"/>
      <c r="DF13" s="270">
        <f t="shared" ref="DF13:DF29" si="68">DS12</f>
        <v>757.12463328523631</v>
      </c>
      <c r="DG13" s="178">
        <f t="shared" si="26"/>
        <v>529.98724329966535</v>
      </c>
      <c r="DH13" s="178">
        <f>DG13*(1-EL12)</f>
        <v>461.34887361987279</v>
      </c>
      <c r="DI13" s="116">
        <f t="shared" si="52"/>
        <v>583.6810929610192</v>
      </c>
      <c r="DJ13" s="13">
        <f t="shared" si="53"/>
        <v>1340.8057262462555</v>
      </c>
      <c r="DK13" s="199">
        <f t="shared" si="54"/>
        <v>98.414023272779787</v>
      </c>
      <c r="DL13" s="107">
        <f t="shared" si="27"/>
        <v>1242.3917029734757</v>
      </c>
      <c r="DM13" s="182">
        <f>'Immigration de varroas'!E20</f>
        <v>0</v>
      </c>
      <c r="DN13" s="109">
        <f t="shared" si="55"/>
        <v>-48.298341674952368</v>
      </c>
      <c r="DO13" s="82">
        <f t="shared" si="63"/>
        <v>-48.298341674952368</v>
      </c>
      <c r="DP13" s="198">
        <f t="shared" si="28"/>
        <v>1194.0933612985234</v>
      </c>
      <c r="DQ13" s="278">
        <f>ES$33</f>
        <v>0</v>
      </c>
      <c r="DR13" s="107">
        <f t="shared" si="56"/>
        <v>0</v>
      </c>
      <c r="DS13" s="79">
        <f t="shared" si="29"/>
        <v>1194.0933612985234</v>
      </c>
      <c r="DT13" s="23">
        <f t="shared" si="30"/>
        <v>2.9958220404736884E-2</v>
      </c>
      <c r="DU13" s="158">
        <f t="shared" si="31"/>
        <v>40664</v>
      </c>
      <c r="DV13" s="74">
        <f t="shared" si="32"/>
        <v>188.42910800313919</v>
      </c>
      <c r="DW13" s="23">
        <f t="shared" si="33"/>
        <v>8.5649594546881452E-3</v>
      </c>
      <c r="DX13" s="114">
        <f t="shared" si="34"/>
        <v>2.6979622282267659</v>
      </c>
      <c r="DY13" s="179" t="str">
        <f t="shared" si="65"/>
        <v/>
      </c>
      <c r="DZ13" s="179" t="str">
        <f t="shared" si="66"/>
        <v/>
      </c>
      <c r="EA13" s="179"/>
      <c r="EB13">
        <f t="shared" si="67"/>
        <v>0</v>
      </c>
      <c r="EC13" s="13">
        <f t="shared" si="57"/>
        <v>15398.4375</v>
      </c>
      <c r="ED13" s="14">
        <f t="shared" si="58"/>
        <v>6000</v>
      </c>
      <c r="EE13" s="13">
        <f t="shared" si="59"/>
        <v>9398.4375</v>
      </c>
      <c r="EF13" s="13">
        <f t="shared" si="64"/>
        <v>617.97945205479448</v>
      </c>
      <c r="EG13" s="17">
        <f t="shared" si="60"/>
        <v>0.6</v>
      </c>
      <c r="EH13" s="197">
        <f t="shared" si="61"/>
        <v>48.298341674952368</v>
      </c>
      <c r="EJ13" s="13">
        <f t="shared" si="62"/>
        <v>583.6810929610192</v>
      </c>
      <c r="EK13" s="131">
        <f>ES$58</f>
        <v>124.9489120019891</v>
      </c>
      <c r="EL13" s="31">
        <f>ER$60</f>
        <v>0.10439898733345916</v>
      </c>
      <c r="EP13" s="2">
        <v>40664</v>
      </c>
      <c r="EQ13" s="193">
        <v>43040</v>
      </c>
      <c r="ES13" s="17">
        <v>0.6</v>
      </c>
    </row>
    <row r="14" spans="2:169" ht="16" customHeight="1">
      <c r="C14" s="284"/>
      <c r="AF14" s="274"/>
      <c r="AG14" s="282"/>
      <c r="BA14" s="288">
        <f t="shared" si="35"/>
        <v>40678</v>
      </c>
      <c r="BB14" s="48">
        <f t="shared" si="0"/>
        <v>1194.0933612985234</v>
      </c>
      <c r="BC14" s="222">
        <f t="shared" si="36"/>
        <v>2.7897518538664345E-2</v>
      </c>
      <c r="BD14" s="173">
        <f t="shared" si="1"/>
        <v>0</v>
      </c>
      <c r="BE14" s="99">
        <f t="shared" si="37"/>
        <v>3.7530574363797853</v>
      </c>
      <c r="BF14" s="4">
        <f t="shared" si="2"/>
        <v>3.9266212019922087E-2</v>
      </c>
      <c r="BG14" s="3">
        <f t="shared" si="3"/>
        <v>0.29933508814694854</v>
      </c>
      <c r="BH14" s="381" t="s">
        <v>103</v>
      </c>
      <c r="BI14" s="378" t="s">
        <v>104</v>
      </c>
      <c r="BJ14" s="378"/>
      <c r="BK14" s="378"/>
      <c r="BL14" s="378"/>
      <c r="BM14" s="378"/>
      <c r="BO14" s="392"/>
      <c r="BP14" s="158">
        <f t="shared" si="38"/>
        <v>40678</v>
      </c>
      <c r="BQ14" s="373">
        <f>IF($BA$32="d",'Profils de colonie'!I40,IF($BA$32="n",'Profils de colonie'!I68,IF($BA$32="p",'Profils de colonie'!I96,IF($BA$32="a",'Profils de colonie'!I124,IF($BA$32="b",'Profils de colonie'!I152,IF($BA$32="c",'Profils de colonie'!I180,IF($BA$32="r",'Profils de colonie'!I208,IF($BA$32="s",'Profils de colonie'!I236,IF($BA$32="f",'Profils de colonie'!I264,"erreur")))))))))</f>
        <v>15</v>
      </c>
      <c r="BR14">
        <f t="shared" si="4"/>
        <v>30000</v>
      </c>
      <c r="BS14" s="68">
        <f>IF($BA$32="d",'Profils de colonie'!G40,IF($BA$32="n",'Profils de colonie'!G68,IF($BA$32="p",'Profils de colonie'!G96,IF($BA$32="a",'Profils de colonie'!G124,IF($BA$32="b",'Profils de colonie'!G152,IF($BA$32="c",'Profils de colonie'!G180,IF($BA$32="r",'Profils de colonie'!G208,IF($BA$32="s",'Profils de colonie'!G236,IF($BA$32="f",'Profils de colonie'!G264,"erreur")))))))))</f>
        <v>6.5</v>
      </c>
      <c r="BT14" s="13">
        <f t="shared" si="5"/>
        <v>29250</v>
      </c>
      <c r="BU14" s="17">
        <f t="shared" si="6"/>
        <v>0.97499999999999998</v>
      </c>
      <c r="BV14">
        <f t="shared" si="39"/>
        <v>17550</v>
      </c>
      <c r="BW14" s="14">
        <f t="shared" si="40"/>
        <v>689.12202094963266</v>
      </c>
      <c r="BX14" s="14">
        <f t="shared" si="7"/>
        <v>1462.5</v>
      </c>
      <c r="BY14" s="89">
        <f t="shared" si="41"/>
        <v>5.1265890399214493</v>
      </c>
      <c r="BZ14" s="21">
        <f t="shared" si="8"/>
        <v>17.126589039921448</v>
      </c>
      <c r="CA14" s="26">
        <f t="shared" si="9"/>
        <v>0.29933508814694854</v>
      </c>
      <c r="CB14" s="103">
        <f t="shared" si="10"/>
        <v>0.70066491185305146</v>
      </c>
      <c r="CC14" s="22">
        <f t="shared" si="11"/>
        <v>836.65931973854379</v>
      </c>
      <c r="CD14" s="5">
        <f t="shared" si="12"/>
        <v>17550</v>
      </c>
      <c r="CE14" s="67">
        <f>IF($BA$32="d",'Profils de colonie'!K40,IF($BA$32="n",'Profils de colonie'!K68,IF($BA$32="p",'Profils de colonie'!K96,IF($BA$32="a",'Profils de colonie'!K124,IF($BA$32="b",'Profils de colonie'!K152,IF($BA$32="c",'Profils de colonie'!K180,IF($BA$32="r",'Profils de colonie'!K208,IF($BA$32="s",'Profils de colonie'!K208,IF($BA$32="f",'Profils de colonie'!K264,"erreur")))))))))</f>
        <v>0.06</v>
      </c>
      <c r="CF14" s="87">
        <f t="shared" si="42"/>
        <v>3.8399999999999997E-2</v>
      </c>
      <c r="CG14" s="63">
        <f t="shared" si="43"/>
        <v>0.19199999999999998</v>
      </c>
      <c r="CH14" s="84">
        <f t="shared" si="44"/>
        <v>0.13452766307578587</v>
      </c>
      <c r="CI14" s="60">
        <f t="shared" si="13"/>
        <v>160.63858938980039</v>
      </c>
      <c r="CJ14" s="61">
        <f t="shared" si="45"/>
        <v>0.23836447855798967</v>
      </c>
      <c r="CK14" s="266">
        <f t="shared" si="14"/>
        <v>0.21208453953859996</v>
      </c>
      <c r="CL14" s="267">
        <f t="shared" si="46"/>
        <v>1.1239125637189913</v>
      </c>
      <c r="CM14" s="61">
        <f t="shared" si="15"/>
        <v>20.126589039921448</v>
      </c>
      <c r="CN14" s="265">
        <v>1</v>
      </c>
      <c r="CO14" s="71">
        <f t="shared" si="16"/>
        <v>4.2749999999999995</v>
      </c>
      <c r="CP14" s="65">
        <f t="shared" si="47"/>
        <v>9.8493837450082944E-2</v>
      </c>
      <c r="CQ14" s="85">
        <f t="shared" si="48"/>
        <v>0.56613724877726557</v>
      </c>
      <c r="CR14" s="59">
        <f t="shared" si="49"/>
        <v>16876.080000000002</v>
      </c>
      <c r="CS14" s="59">
        <f t="shared" si="17"/>
        <v>676.02073034874343</v>
      </c>
      <c r="CT14" s="62">
        <f t="shared" si="18"/>
        <v>4.0057924017232877E-2</v>
      </c>
      <c r="CU14" s="263">
        <f t="shared" si="19"/>
        <v>3.9266212019922087E-2</v>
      </c>
      <c r="CV14" s="265">
        <f t="shared" si="50"/>
        <v>1.0201366981926199</v>
      </c>
      <c r="CW14" s="64">
        <f t="shared" si="20"/>
        <v>0.80800000000000005</v>
      </c>
      <c r="CX14" s="62">
        <f t="shared" si="21"/>
        <v>17.126589039921448</v>
      </c>
      <c r="CY14" s="264">
        <v>1</v>
      </c>
      <c r="CZ14" s="70">
        <f t="shared" si="51"/>
        <v>2.2586249999999999</v>
      </c>
      <c r="DA14" s="66">
        <f t="shared" si="22"/>
        <v>6.518049768398862E-2</v>
      </c>
      <c r="DB14" s="91">
        <f t="shared" si="23"/>
        <v>5.0151253412272223E-2</v>
      </c>
      <c r="DC14" s="23">
        <f t="shared" si="24"/>
        <v>-5.0125418235442863E-3</v>
      </c>
      <c r="DD14" s="28">
        <f t="shared" si="25"/>
        <v>4.5138711588727939E-2</v>
      </c>
      <c r="DE14" s="28"/>
      <c r="DF14" s="270">
        <f t="shared" si="68"/>
        <v>1194.0933612985234</v>
      </c>
      <c r="DG14" s="178">
        <f t="shared" si="26"/>
        <v>835.86535290896632</v>
      </c>
      <c r="DH14" s="178">
        <f t="shared" ref="DH14:DH29" si="69">DG14*(1-EL13)</f>
        <v>748.60185651814572</v>
      </c>
      <c r="DI14" s="116">
        <f t="shared" si="52"/>
        <v>856.47072140637761</v>
      </c>
      <c r="DJ14" s="13">
        <f t="shared" si="53"/>
        <v>2050.564082704901</v>
      </c>
      <c r="DK14" s="199">
        <f t="shared" si="54"/>
        <v>150.50969533268722</v>
      </c>
      <c r="DL14" s="107">
        <f t="shared" si="27"/>
        <v>1900.0543873722138</v>
      </c>
      <c r="DM14" s="182">
        <f>'Immigration de varroas'!E21</f>
        <v>0</v>
      </c>
      <c r="DN14" s="109">
        <f t="shared" si="55"/>
        <v>-74.904771334413212</v>
      </c>
      <c r="DO14" s="82">
        <f t="shared" si="63"/>
        <v>-74.904771334413212</v>
      </c>
      <c r="DP14" s="198">
        <f t="shared" si="28"/>
        <v>1825.1496160378006</v>
      </c>
      <c r="DQ14" s="278">
        <f>ET$33</f>
        <v>0</v>
      </c>
      <c r="DR14" s="107">
        <f t="shared" si="56"/>
        <v>0</v>
      </c>
      <c r="DS14" s="79">
        <f t="shared" si="29"/>
        <v>1825.1496160378006</v>
      </c>
      <c r="DT14" s="23">
        <f t="shared" si="30"/>
        <v>2.7897518538664345E-2</v>
      </c>
      <c r="DU14" s="158">
        <f t="shared" si="31"/>
        <v>40678</v>
      </c>
      <c r="DV14" s="74">
        <f t="shared" si="32"/>
        <v>357.43404155997956</v>
      </c>
      <c r="DW14" s="23">
        <f t="shared" si="33"/>
        <v>1.1914468051999319E-2</v>
      </c>
      <c r="DX14" s="114">
        <f t="shared" si="34"/>
        <v>3.7530574363797853</v>
      </c>
      <c r="DY14" s="179" t="str">
        <f t="shared" si="65"/>
        <v/>
      </c>
      <c r="DZ14" s="179" t="str">
        <f t="shared" si="66"/>
        <v/>
      </c>
      <c r="EA14" s="179"/>
      <c r="EB14">
        <f t="shared" si="67"/>
        <v>0</v>
      </c>
      <c r="EC14" s="13">
        <f t="shared" si="57"/>
        <v>18478.125</v>
      </c>
      <c r="ED14" s="14">
        <f t="shared" si="58"/>
        <v>8000</v>
      </c>
      <c r="EE14" s="13">
        <f t="shared" si="59"/>
        <v>10478.125</v>
      </c>
      <c r="EF14" s="13">
        <f t="shared" si="64"/>
        <v>688.97260273972597</v>
      </c>
      <c r="EG14" s="17">
        <f t="shared" si="60"/>
        <v>0.6</v>
      </c>
      <c r="EH14" s="197">
        <f t="shared" si="61"/>
        <v>74.904771334413212</v>
      </c>
      <c r="EJ14" s="13">
        <f t="shared" si="62"/>
        <v>856.47072140637761</v>
      </c>
      <c r="EK14" s="131">
        <f>ET$58</f>
        <v>168.50756739275889</v>
      </c>
      <c r="EL14" s="31">
        <f>ES$60</f>
        <v>8.8290146463873162E-2</v>
      </c>
      <c r="EP14" s="2">
        <v>40678</v>
      </c>
      <c r="EQ14" s="193">
        <v>43054</v>
      </c>
      <c r="ES14" s="17">
        <v>0.57999999999999996</v>
      </c>
      <c r="ET14">
        <v>10.08</v>
      </c>
    </row>
    <row r="15" spans="2:169" ht="16.44">
      <c r="C15" s="284"/>
      <c r="AF15" s="274"/>
      <c r="AG15" s="282"/>
      <c r="BA15" s="288">
        <f t="shared" si="35"/>
        <v>40695</v>
      </c>
      <c r="BB15" s="48">
        <f t="shared" si="0"/>
        <v>1825.1496160378006</v>
      </c>
      <c r="BC15" s="222">
        <f t="shared" si="36"/>
        <v>2.5961721599068045E-2</v>
      </c>
      <c r="BD15" s="173">
        <f t="shared" si="1"/>
        <v>0</v>
      </c>
      <c r="BE15" s="99">
        <f t="shared" si="37"/>
        <v>5.0083106970590272</v>
      </c>
      <c r="BF15" s="4">
        <f t="shared" si="2"/>
        <v>5.4516971925942626E-2</v>
      </c>
      <c r="BG15" s="3">
        <f t="shared" si="3"/>
        <v>0.3310288417704309</v>
      </c>
      <c r="BH15" s="380"/>
      <c r="BI15" s="378"/>
      <c r="BJ15" s="378"/>
      <c r="BK15" s="378"/>
      <c r="BL15" s="378"/>
      <c r="BM15" s="378"/>
      <c r="BO15" s="392"/>
      <c r="BP15" s="158">
        <f t="shared" si="38"/>
        <v>40695</v>
      </c>
      <c r="BQ15" s="373">
        <f>IF($BA$32="d",'Profils de colonie'!I41,IF($BA$32="n",'Profils de colonie'!I69,IF($BA$32="p",'Profils de colonie'!I97,IF($BA$32="a",'Profils de colonie'!I125,IF($BA$32="b",'Profils de colonie'!I153,IF($BA$32="c",'Profils de colonie'!I181,IF($BA$32="r",'Profils de colonie'!I209,IF($BA$32="s",'Profils de colonie'!I237,IF($BA$32="f",'Profils de colonie'!I265,"erreur")))))))))</f>
        <v>19</v>
      </c>
      <c r="BR15">
        <f t="shared" si="4"/>
        <v>38000</v>
      </c>
      <c r="BS15" s="68">
        <f>IF($BA$32="d",'Profils de colonie'!G41,IF($BA$32="n",'Profils de colonie'!G69,IF($BA$32="p",'Profils de colonie'!G97,IF($BA$32="a",'Profils de colonie'!G125,IF($BA$32="b",'Profils de colonie'!G153,IF($BA$32="c",'Profils de colonie'!G181,IF($BA$32="r",'Profils de colonie'!G209,IF($BA$32="s",'Profils de colonie'!G237,IF($BA$32="f",'Profils de colonie'!G265,"erreur")))))))))</f>
        <v>7</v>
      </c>
      <c r="BT15" s="13">
        <f t="shared" si="5"/>
        <v>31500</v>
      </c>
      <c r="BU15" s="17">
        <f t="shared" si="6"/>
        <v>0.82894736842105265</v>
      </c>
      <c r="BV15">
        <f t="shared" si="39"/>
        <v>18900</v>
      </c>
      <c r="BW15" s="14">
        <f t="shared" si="40"/>
        <v>1030.3707694003156</v>
      </c>
      <c r="BX15" s="14">
        <f t="shared" si="7"/>
        <v>1575</v>
      </c>
      <c r="BY15" s="89">
        <f t="shared" si="41"/>
        <v>5.9379930694739915</v>
      </c>
      <c r="BZ15" s="21">
        <f t="shared" si="8"/>
        <v>17.93799306947399</v>
      </c>
      <c r="CA15" s="26">
        <f t="shared" si="9"/>
        <v>0.3310288417704309</v>
      </c>
      <c r="CB15" s="103">
        <f t="shared" si="10"/>
        <v>0.6689711582295691</v>
      </c>
      <c r="CC15" s="22">
        <f t="shared" si="11"/>
        <v>1220.9724525830607</v>
      </c>
      <c r="CD15" s="5">
        <f t="shared" si="12"/>
        <v>18900</v>
      </c>
      <c r="CE15" s="67">
        <f>IF($BA$32="d",'Profils de colonie'!K41,IF($BA$32="n",'Profils de colonie'!K69,IF($BA$32="p",'Profils de colonie'!K97,IF($BA$32="a",'Profils de colonie'!K125,IF($BA$32="b",'Profils de colonie'!K153,IF($BA$32="c",'Profils de colonie'!K181,IF($BA$32="r",'Profils de colonie'!K209,IF($BA$32="s",'Profils de colonie'!K209,IF($BA$32="f",'Profils de colonie'!K265,"erreur")))))))))</f>
        <v>0.05</v>
      </c>
      <c r="CF15" s="87">
        <f t="shared" si="42"/>
        <v>3.2000000000000001E-2</v>
      </c>
      <c r="CG15" s="63">
        <f t="shared" si="43"/>
        <v>0.16</v>
      </c>
      <c r="CH15" s="84">
        <f t="shared" si="44"/>
        <v>0.10703538531673105</v>
      </c>
      <c r="CI15" s="60">
        <f t="shared" si="13"/>
        <v>195.35559241328971</v>
      </c>
      <c r="CJ15" s="61">
        <f t="shared" si="45"/>
        <v>0.323008585339434</v>
      </c>
      <c r="CK15" s="266">
        <f t="shared" si="14"/>
        <v>0.2760323611666845</v>
      </c>
      <c r="CL15" s="267">
        <f t="shared" si="46"/>
        <v>1.1701837566225886</v>
      </c>
      <c r="CM15" s="61">
        <f t="shared" si="15"/>
        <v>20.93799306947399</v>
      </c>
      <c r="CN15" s="265">
        <v>1</v>
      </c>
      <c r="CO15" s="71">
        <f t="shared" si="16"/>
        <v>4.2749999999999995</v>
      </c>
      <c r="CP15" s="65">
        <f t="shared" si="47"/>
        <v>9.8493837450082944E-2</v>
      </c>
      <c r="CQ15" s="85">
        <f t="shared" si="48"/>
        <v>0.56193577291283803</v>
      </c>
      <c r="CR15" s="59">
        <f t="shared" si="49"/>
        <v>18295.2</v>
      </c>
      <c r="CS15" s="59">
        <f t="shared" si="17"/>
        <v>1025.6168601697709</v>
      </c>
      <c r="CT15" s="62">
        <f t="shared" si="18"/>
        <v>5.6059341257257145E-2</v>
      </c>
      <c r="CU15" s="263">
        <f t="shared" si="19"/>
        <v>5.4516971925942626E-2</v>
      </c>
      <c r="CV15" s="265">
        <f t="shared" si="50"/>
        <v>1.0282726828761775</v>
      </c>
      <c r="CW15" s="64">
        <f t="shared" si="20"/>
        <v>0.84</v>
      </c>
      <c r="CX15" s="62">
        <f t="shared" si="21"/>
        <v>17.93799306947399</v>
      </c>
      <c r="CY15" s="264">
        <v>1</v>
      </c>
      <c r="CZ15" s="70">
        <f t="shared" si="51"/>
        <v>2.2586249999999999</v>
      </c>
      <c r="DA15" s="66">
        <f t="shared" si="22"/>
        <v>6.518049768398862E-2</v>
      </c>
      <c r="DB15" s="91">
        <f t="shared" si="23"/>
        <v>4.7169579187688701E-2</v>
      </c>
      <c r="DC15" s="23">
        <f t="shared" si="24"/>
        <v>-5.0125418235442863E-3</v>
      </c>
      <c r="DD15" s="28">
        <f t="shared" si="25"/>
        <v>4.2157037364144417E-2</v>
      </c>
      <c r="DE15" s="28"/>
      <c r="DF15" s="270">
        <f t="shared" si="68"/>
        <v>1825.1496160378006</v>
      </c>
      <c r="DG15" s="178">
        <f t="shared" si="26"/>
        <v>1277.6047312264602</v>
      </c>
      <c r="DH15" s="178">
        <f t="shared" si="69"/>
        <v>1164.8048223835387</v>
      </c>
      <c r="DI15" s="116">
        <f t="shared" si="52"/>
        <v>1221.9251627273059</v>
      </c>
      <c r="DJ15" s="13">
        <f t="shared" si="53"/>
        <v>3047.0747787651062</v>
      </c>
      <c r="DK15" s="199">
        <f t="shared" si="54"/>
        <v>223.65275022416881</v>
      </c>
      <c r="DL15" s="107">
        <f t="shared" si="27"/>
        <v>2823.4220285409374</v>
      </c>
      <c r="DM15" s="182">
        <f>'Immigration de varroas'!E22</f>
        <v>0</v>
      </c>
      <c r="DN15" s="109">
        <f t="shared" si="55"/>
        <v>-114.64708847151638</v>
      </c>
      <c r="DO15" s="82">
        <f t="shared" si="63"/>
        <v>-114.64708847151638</v>
      </c>
      <c r="DP15" s="198">
        <f t="shared" si="28"/>
        <v>2708.7749400694211</v>
      </c>
      <c r="DQ15" s="278">
        <f>EU$33</f>
        <v>0</v>
      </c>
      <c r="DR15" s="107">
        <f t="shared" si="56"/>
        <v>0</v>
      </c>
      <c r="DS15" s="79">
        <f t="shared" si="29"/>
        <v>2708.7749400694211</v>
      </c>
      <c r="DT15" s="23">
        <f t="shared" si="30"/>
        <v>2.5961721599068045E-2</v>
      </c>
      <c r="DU15" s="158">
        <f t="shared" si="31"/>
        <v>40695</v>
      </c>
      <c r="DV15" s="74">
        <f t="shared" si="32"/>
        <v>604.1771634547398</v>
      </c>
      <c r="DW15" s="23">
        <f t="shared" si="33"/>
        <v>1.5899399038282625E-2</v>
      </c>
      <c r="DX15" s="114">
        <f t="shared" si="34"/>
        <v>5.0083106970590272</v>
      </c>
      <c r="DY15" s="179" t="str">
        <f t="shared" si="65"/>
        <v/>
      </c>
      <c r="DZ15" s="179" t="str">
        <f t="shared" si="66"/>
        <v/>
      </c>
      <c r="EA15" s="179"/>
      <c r="EB15">
        <f t="shared" si="67"/>
        <v>0</v>
      </c>
      <c r="EC15" s="13">
        <f t="shared" si="57"/>
        <v>20017.96875</v>
      </c>
      <c r="ED15" s="14">
        <f t="shared" si="58"/>
        <v>8000</v>
      </c>
      <c r="EE15" s="13">
        <f t="shared" si="59"/>
        <v>12017.96875</v>
      </c>
      <c r="EF15" s="13">
        <f t="shared" si="64"/>
        <v>790.22260273972597</v>
      </c>
      <c r="EG15" s="17">
        <f t="shared" si="60"/>
        <v>0.6</v>
      </c>
      <c r="EH15" s="197">
        <f t="shared" si="61"/>
        <v>114.64708847151638</v>
      </c>
      <c r="EJ15" s="13">
        <f t="shared" si="62"/>
        <v>1221.9251627273059</v>
      </c>
      <c r="EK15" s="131">
        <f>EU$58</f>
        <v>248.05072430079477</v>
      </c>
      <c r="EL15" s="31">
        <f>ET$60</f>
        <v>7.7682839138731183E-2</v>
      </c>
      <c r="EP15" s="2">
        <v>40695</v>
      </c>
      <c r="EQ15" s="193">
        <v>43070</v>
      </c>
      <c r="ES15" s="17">
        <v>0.56999999999999995</v>
      </c>
    </row>
    <row r="16" spans="2:169" ht="16" customHeight="1">
      <c r="C16" s="284"/>
      <c r="AF16" s="274"/>
      <c r="AG16" s="282"/>
      <c r="BA16" s="288">
        <f t="shared" si="35"/>
        <v>40709</v>
      </c>
      <c r="BB16" s="48">
        <f t="shared" si="0"/>
        <v>2708.7749400694211</v>
      </c>
      <c r="BC16" s="222">
        <f t="shared" si="36"/>
        <v>2.33248773717828E-2</v>
      </c>
      <c r="BD16" s="173">
        <f t="shared" si="1"/>
        <v>0</v>
      </c>
      <c r="BE16" s="99">
        <f t="shared" si="37"/>
        <v>7.1712816880920052</v>
      </c>
      <c r="BF16" s="4">
        <f t="shared" si="2"/>
        <v>8.0942913403593053E-2</v>
      </c>
      <c r="BG16" s="3">
        <f t="shared" si="3"/>
        <v>0.36979921223943024</v>
      </c>
      <c r="BH16" s="381" t="s">
        <v>105</v>
      </c>
      <c r="BI16" s="378" t="s">
        <v>106</v>
      </c>
      <c r="BJ16" s="378"/>
      <c r="BK16" s="378"/>
      <c r="BL16" s="378"/>
      <c r="BM16" s="378"/>
      <c r="BO16" s="392"/>
      <c r="BP16" s="158">
        <f t="shared" si="38"/>
        <v>40709</v>
      </c>
      <c r="BQ16" s="373">
        <f>IF($BA$32="d",'Profils de colonie'!I42,IF($BA$32="n",'Profils de colonie'!I70,IF($BA$32="p",'Profils de colonie'!I98,IF($BA$32="a",'Profils de colonie'!I126,IF($BA$32="b",'Profils de colonie'!I154,IF($BA$32="c",'Profils de colonie'!I182,IF($BA$32="r",'Profils de colonie'!I210,IF($BA$32="s",'Profils de colonie'!I238,IF($BA$32="f",'Profils de colonie'!I266,"erreur")))))))))</f>
        <v>22</v>
      </c>
      <c r="BR16">
        <f t="shared" si="4"/>
        <v>44000</v>
      </c>
      <c r="BS16" s="68">
        <f>IF($BA$32="d",'Profils de colonie'!G42,IF($BA$32="n",'Profils de colonie'!G70,IF($BA$32="p",'Profils de colonie'!G98,IF($BA$32="a",'Profils de colonie'!G126,IF($BA$32="b",'Profils de colonie'!G154,IF($BA$32="c",'Profils de colonie'!G182,IF($BA$32="r",'Profils de colonie'!G210,IF($BA$32="s",'Profils de colonie'!G238,IF($BA$32="f",'Profils de colonie'!G266,"erreur")))))))))</f>
        <v>6.5</v>
      </c>
      <c r="BT16" s="13">
        <f t="shared" si="5"/>
        <v>29250</v>
      </c>
      <c r="BU16" s="17">
        <f t="shared" si="6"/>
        <v>0.66477272727272729</v>
      </c>
      <c r="BV16">
        <f t="shared" si="39"/>
        <v>17550</v>
      </c>
      <c r="BW16" s="14">
        <f t="shared" si="40"/>
        <v>1420.5481302330581</v>
      </c>
      <c r="BX16" s="14">
        <f t="shared" si="7"/>
        <v>1462.5</v>
      </c>
      <c r="BY16" s="89">
        <f t="shared" si="41"/>
        <v>7.041550301201978</v>
      </c>
      <c r="BZ16" s="21">
        <f t="shared" si="8"/>
        <v>19.04155030120198</v>
      </c>
      <c r="CA16" s="26">
        <f t="shared" si="9"/>
        <v>0.36979921223943024</v>
      </c>
      <c r="CB16" s="103">
        <f t="shared" si="10"/>
        <v>0.63020078776056976</v>
      </c>
      <c r="CC16" s="22">
        <f t="shared" si="11"/>
        <v>1707.0721010978393</v>
      </c>
      <c r="CD16" s="5">
        <f t="shared" si="12"/>
        <v>17550</v>
      </c>
      <c r="CE16" s="67">
        <f>IF($BA$32="d",'Profils de colonie'!K42,IF($BA$32="n",'Profils de colonie'!K70,IF($BA$32="p",'Profils de colonie'!K98,IF($BA$32="a",'Profils de colonie'!K126,IF($BA$32="b",'Profils de colonie'!K154,IF($BA$32="c",'Profils de colonie'!K182,IF($BA$32="r",'Profils de colonie'!K210,IF($BA$32="s",'Profils de colonie'!K210,IF($BA$32="f",'Profils de colonie'!K266,"erreur")))))))))</f>
        <v>0.05</v>
      </c>
      <c r="CF16" s="87">
        <f t="shared" si="42"/>
        <v>3.2000000000000001E-2</v>
      </c>
      <c r="CG16" s="63">
        <f t="shared" si="43"/>
        <v>0.16</v>
      </c>
      <c r="CH16" s="84">
        <f t="shared" si="44"/>
        <v>0.10083212604169116</v>
      </c>
      <c r="CI16" s="60">
        <f t="shared" si="13"/>
        <v>273.13153617565428</v>
      </c>
      <c r="CJ16" s="61">
        <f t="shared" si="45"/>
        <v>0.48634532794810231</v>
      </c>
      <c r="CK16" s="266">
        <f t="shared" si="14"/>
        <v>0.38513056095444642</v>
      </c>
      <c r="CL16" s="267">
        <f t="shared" si="46"/>
        <v>1.2628063759542252</v>
      </c>
      <c r="CM16" s="61">
        <f t="shared" si="15"/>
        <v>22.04155030120198</v>
      </c>
      <c r="CN16" s="265">
        <v>1</v>
      </c>
      <c r="CO16" s="71">
        <f t="shared" si="16"/>
        <v>4.2749999999999995</v>
      </c>
      <c r="CP16" s="65">
        <f t="shared" si="47"/>
        <v>9.8493837450082944E-2</v>
      </c>
      <c r="CQ16" s="85">
        <f t="shared" si="48"/>
        <v>0.52936866171887864</v>
      </c>
      <c r="CR16" s="59">
        <f t="shared" si="49"/>
        <v>16988.399999999998</v>
      </c>
      <c r="CS16" s="59">
        <f t="shared" si="17"/>
        <v>1433.9405649221851</v>
      </c>
      <c r="CT16" s="62">
        <f t="shared" si="18"/>
        <v>8.4407040387687204E-2</v>
      </c>
      <c r="CU16" s="263">
        <f t="shared" si="19"/>
        <v>8.0942913403593053E-2</v>
      </c>
      <c r="CV16" s="265">
        <f t="shared" si="50"/>
        <v>1.0427842791196258</v>
      </c>
      <c r="CW16" s="64">
        <f t="shared" si="20"/>
        <v>0.84</v>
      </c>
      <c r="CX16" s="62">
        <f t="shared" si="21"/>
        <v>19.04155030120198</v>
      </c>
      <c r="CY16" s="264">
        <v>1</v>
      </c>
      <c r="CZ16" s="70">
        <f t="shared" si="51"/>
        <v>2.2586249999999999</v>
      </c>
      <c r="DA16" s="66">
        <f t="shared" si="22"/>
        <v>6.518049768398862E-2</v>
      </c>
      <c r="DB16" s="91">
        <f t="shared" si="23"/>
        <v>4.4435855861240131E-2</v>
      </c>
      <c r="DC16" s="23">
        <f t="shared" si="24"/>
        <v>-5.0125418235442863E-3</v>
      </c>
      <c r="DD16" s="28">
        <f t="shared" si="25"/>
        <v>3.9423314037695847E-2</v>
      </c>
      <c r="DE16" s="28"/>
      <c r="DF16" s="270">
        <f t="shared" si="68"/>
        <v>2708.7749400694211</v>
      </c>
      <c r="DG16" s="178">
        <f t="shared" si="26"/>
        <v>1896.1424580485946</v>
      </c>
      <c r="DH16" s="178">
        <f t="shared" si="69"/>
        <v>1748.8447284958872</v>
      </c>
      <c r="DI16" s="116">
        <f>DH16*EXP(DB16*$BQ$37)-DH16</f>
        <v>1688.6767892519313</v>
      </c>
      <c r="DJ16" s="13">
        <f t="shared" si="53"/>
        <v>4397.4517293213521</v>
      </c>
      <c r="DK16" s="199">
        <f t="shared" si="54"/>
        <v>322.76929338745458</v>
      </c>
      <c r="DL16" s="107">
        <f t="shared" si="27"/>
        <v>4074.6824359338975</v>
      </c>
      <c r="DM16" s="182">
        <f>'Immigration de varroas'!E23</f>
        <v>0</v>
      </c>
      <c r="DN16" s="109">
        <f t="shared" si="55"/>
        <v>-212.51324931051221</v>
      </c>
      <c r="DO16" s="82">
        <f t="shared" si="63"/>
        <v>-212.51324931051221</v>
      </c>
      <c r="DP16" s="198">
        <f t="shared" si="28"/>
        <v>3862.1691866233855</v>
      </c>
      <c r="DQ16" s="278">
        <f>EV$33</f>
        <v>0</v>
      </c>
      <c r="DR16" s="107">
        <f t="shared" si="56"/>
        <v>0</v>
      </c>
      <c r="DS16" s="79">
        <f t="shared" si="29"/>
        <v>3862.1691866233855</v>
      </c>
      <c r="DT16" s="23">
        <f t="shared" si="30"/>
        <v>2.33248773717828E-2</v>
      </c>
      <c r="DU16" s="158">
        <f t="shared" si="31"/>
        <v>40709</v>
      </c>
      <c r="DV16" s="74">
        <f t="shared" si="32"/>
        <v>1001.7028389715817</v>
      </c>
      <c r="DW16" s="23">
        <f t="shared" si="33"/>
        <v>2.2765973612990494E-2</v>
      </c>
      <c r="DX16" s="114">
        <f t="shared" si="34"/>
        <v>7.1712816880920052</v>
      </c>
      <c r="DY16" s="179" t="str">
        <f t="shared" si="65"/>
        <v/>
      </c>
      <c r="DZ16" s="179" t="str">
        <f t="shared" si="66"/>
        <v/>
      </c>
      <c r="EA16" s="179"/>
      <c r="EB16">
        <f t="shared" si="67"/>
        <v>0</v>
      </c>
      <c r="EC16" s="13">
        <f t="shared" si="57"/>
        <v>21557.8125</v>
      </c>
      <c r="ED16" s="14">
        <f t="shared" si="58"/>
        <v>6000</v>
      </c>
      <c r="EE16" s="13">
        <f t="shared" si="59"/>
        <v>15557.8125</v>
      </c>
      <c r="EF16" s="13">
        <f t="shared" si="64"/>
        <v>1022.9794520547945</v>
      </c>
      <c r="EG16" s="17">
        <f t="shared" si="60"/>
        <v>0.6</v>
      </c>
      <c r="EH16" s="197">
        <f t="shared" si="61"/>
        <v>212.51324931051221</v>
      </c>
      <c r="EJ16" s="13">
        <f t="shared" si="62"/>
        <v>1688.6767892519313</v>
      </c>
      <c r="EK16" s="131">
        <f>EV$58</f>
        <v>394.50678702129744</v>
      </c>
      <c r="EL16" s="31">
        <f>EU$60</f>
        <v>7.6701299730230418E-2</v>
      </c>
      <c r="EP16" s="2">
        <v>40709</v>
      </c>
      <c r="EQ16" s="193">
        <v>43084</v>
      </c>
      <c r="ES16" s="17">
        <v>0.55000000000000004</v>
      </c>
      <c r="ET16">
        <v>5.9849999999999994</v>
      </c>
    </row>
    <row r="17" spans="3:164" ht="16.44">
      <c r="C17" s="284"/>
      <c r="AF17" s="274"/>
      <c r="AG17" s="282"/>
      <c r="BA17" s="288">
        <f t="shared" si="35"/>
        <v>40725</v>
      </c>
      <c r="BB17" s="48">
        <f t="shared" si="0"/>
        <v>3862.1691866233855</v>
      </c>
      <c r="BC17" s="222">
        <f t="shared" si="36"/>
        <v>2.1774003734982578E-2</v>
      </c>
      <c r="BD17" s="173">
        <f t="shared" si="1"/>
        <v>0</v>
      </c>
      <c r="BE17" s="99">
        <f t="shared" si="37"/>
        <v>10.043952528939812</v>
      </c>
      <c r="BF17" s="4">
        <f t="shared" si="2"/>
        <v>0.11741283704424732</v>
      </c>
      <c r="BG17" s="3">
        <f t="shared" si="3"/>
        <v>0.39628172098980846</v>
      </c>
      <c r="BH17" s="380"/>
      <c r="BI17" s="378"/>
      <c r="BJ17" s="378"/>
      <c r="BK17" s="378"/>
      <c r="BL17" s="378"/>
      <c r="BM17" s="378"/>
      <c r="BO17" s="392"/>
      <c r="BP17" s="158">
        <f t="shared" si="38"/>
        <v>40725</v>
      </c>
      <c r="BQ17" s="373">
        <f>IF($BA$32="d",'Profils de colonie'!I43,IF($BA$32="n",'Profils de colonie'!I71,IF($BA$32="p",'Profils de colonie'!I99,IF($BA$32="a",'Profils de colonie'!I127,IF($BA$32="b",'Profils de colonie'!I155,IF($BA$32="c",'Profils de colonie'!I183,IF($BA$32="r",'Profils de colonie'!I211,IF($BA$32="s",'Profils de colonie'!I239,IF($BA$32="f",'Profils de colonie'!I267,"erreur")))))))))</f>
        <v>24</v>
      </c>
      <c r="BR17">
        <f t="shared" si="4"/>
        <v>48000</v>
      </c>
      <c r="BS17" s="68">
        <f>IF($BA$32="d",'Profils de colonie'!G43,IF($BA$32="n",'Profils de colonie'!G71,IF($BA$32="p",'Profils de colonie'!G99,IF($BA$32="a",'Profils de colonie'!G127,IF($BA$32="b",'Profils de colonie'!G155,IF($BA$32="c",'Profils de colonie'!G183,IF($BA$32="r",'Profils de colonie'!G211,IF($BA$32="s",'Profils de colonie'!G239,IF($BA$32="f",'Profils de colonie'!G267,"erreur")))))))))</f>
        <v>6</v>
      </c>
      <c r="BT17" s="13">
        <f t="shared" si="5"/>
        <v>27000</v>
      </c>
      <c r="BU17" s="17">
        <f t="shared" si="6"/>
        <v>0.5625</v>
      </c>
      <c r="BV17">
        <f t="shared" si="39"/>
        <v>16200</v>
      </c>
      <c r="BW17" s="14">
        <f t="shared" si="40"/>
        <v>1902.0879601168067</v>
      </c>
      <c r="BX17" s="14">
        <f t="shared" si="7"/>
        <v>1350</v>
      </c>
      <c r="BY17" s="89">
        <f t="shared" si="41"/>
        <v>7.8768207245178088</v>
      </c>
      <c r="BZ17" s="21">
        <f t="shared" si="8"/>
        <v>19.87682072451781</v>
      </c>
      <c r="CA17" s="26">
        <f t="shared" si="9"/>
        <v>0.39628172098980846</v>
      </c>
      <c r="CB17" s="103">
        <f t="shared" si="10"/>
        <v>0.60371827901019159</v>
      </c>
      <c r="CC17" s="22">
        <f t="shared" si="11"/>
        <v>2331.6621345944618</v>
      </c>
      <c r="CD17" s="5">
        <f t="shared" si="12"/>
        <v>16200</v>
      </c>
      <c r="CE17" s="67">
        <f>IF($BA$32="d",'Profils de colonie'!K43,IF($BA$32="n",'Profils de colonie'!K71,IF($BA$32="p",'Profils de colonie'!K99,IF($BA$32="a",'Profils de colonie'!K127,IF($BA$32="b",'Profils de colonie'!K155,IF($BA$32="c",'Profils de colonie'!K183,IF($BA$32="r",'Profils de colonie'!K211,IF($BA$32="s",'Profils de colonie'!K211,IF($BA$32="f",'Profils de colonie'!K267,"erreur")))))))))</f>
        <v>0.05</v>
      </c>
      <c r="CF17" s="87">
        <f t="shared" si="42"/>
        <v>3.2000000000000001E-2</v>
      </c>
      <c r="CG17" s="63">
        <f t="shared" si="43"/>
        <v>0.16</v>
      </c>
      <c r="CH17" s="84">
        <f t="shared" si="44"/>
        <v>9.6594924641630664E-2</v>
      </c>
      <c r="CI17" s="60">
        <f t="shared" si="13"/>
        <v>373.06594153511389</v>
      </c>
      <c r="CJ17" s="61">
        <f t="shared" si="45"/>
        <v>0.71964880697359934</v>
      </c>
      <c r="CK17" s="266">
        <f t="shared" si="14"/>
        <v>0.51307677002146623</v>
      </c>
      <c r="CL17" s="267">
        <f t="shared" si="46"/>
        <v>1.4026142850776318</v>
      </c>
      <c r="CM17" s="61">
        <f t="shared" si="15"/>
        <v>22.87682072451781</v>
      </c>
      <c r="CN17" s="265">
        <v>1</v>
      </c>
      <c r="CO17" s="71">
        <f t="shared" si="16"/>
        <v>4.2749999999999995</v>
      </c>
      <c r="CP17" s="65">
        <f t="shared" si="47"/>
        <v>9.8493837450082944E-2</v>
      </c>
      <c r="CQ17" s="85">
        <f t="shared" si="48"/>
        <v>0.50712335436856093</v>
      </c>
      <c r="CR17" s="59">
        <f t="shared" si="49"/>
        <v>15681.6</v>
      </c>
      <c r="CS17" s="59">
        <f t="shared" si="17"/>
        <v>1958.596193059348</v>
      </c>
      <c r="CT17" s="62">
        <f t="shared" si="18"/>
        <v>0.12489772683012881</v>
      </c>
      <c r="CU17" s="263">
        <f t="shared" si="19"/>
        <v>0.11741283704424732</v>
      </c>
      <c r="CV17" s="265">
        <f t="shared" si="50"/>
        <v>1.0637394192565328</v>
      </c>
      <c r="CW17" s="64">
        <f t="shared" si="20"/>
        <v>0.84</v>
      </c>
      <c r="CX17" s="62">
        <f t="shared" si="21"/>
        <v>19.87682072451781</v>
      </c>
      <c r="CY17" s="264">
        <v>1</v>
      </c>
      <c r="CZ17" s="70">
        <f t="shared" si="51"/>
        <v>2.2586249999999999</v>
      </c>
      <c r="DA17" s="66">
        <f t="shared" si="22"/>
        <v>6.518049768398862E-2</v>
      </c>
      <c r="DB17" s="91">
        <f t="shared" si="23"/>
        <v>4.256855743107231E-2</v>
      </c>
      <c r="DC17" s="23">
        <f t="shared" si="24"/>
        <v>-5.0125418235442863E-3</v>
      </c>
      <c r="DD17" s="28">
        <f t="shared" si="25"/>
        <v>3.7556015607528026E-2</v>
      </c>
      <c r="DE17" s="28"/>
      <c r="DF17" s="270">
        <f t="shared" si="68"/>
        <v>3862.1691866233855</v>
      </c>
      <c r="DG17" s="178">
        <f t="shared" si="26"/>
        <v>2703.5184306363699</v>
      </c>
      <c r="DH17" s="178">
        <f t="shared" si="69"/>
        <v>2496.1550531619273</v>
      </c>
      <c r="DI17" s="116">
        <f>DH17*EXP(DB17*$BQ$37)-DH17</f>
        <v>2272.9009392823323</v>
      </c>
      <c r="DJ17" s="13">
        <f t="shared" si="53"/>
        <v>6135.0701259057178</v>
      </c>
      <c r="DK17" s="199">
        <f t="shared" si="54"/>
        <v>450.30903607591699</v>
      </c>
      <c r="DL17" s="107">
        <f t="shared" si="27"/>
        <v>5684.7610898298008</v>
      </c>
      <c r="DM17" s="182">
        <f>'Immigration de varroas'!E24</f>
        <v>0</v>
      </c>
      <c r="DN17" s="109">
        <f t="shared" si="55"/>
        <v>-306.44517663817408</v>
      </c>
      <c r="DO17" s="82">
        <f t="shared" si="63"/>
        <v>-306.44517663817408</v>
      </c>
      <c r="DP17" s="198">
        <f t="shared" si="28"/>
        <v>5378.3159131916264</v>
      </c>
      <c r="DQ17" s="278">
        <f>EW$33</f>
        <v>0</v>
      </c>
      <c r="DR17" s="107">
        <f t="shared" si="56"/>
        <v>0</v>
      </c>
      <c r="DS17" s="79">
        <f t="shared" si="29"/>
        <v>5378.3159131916264</v>
      </c>
      <c r="DT17" s="23">
        <f t="shared" si="30"/>
        <v>2.1774003734982578E-2</v>
      </c>
      <c r="DU17" s="158">
        <f t="shared" si="31"/>
        <v>40725</v>
      </c>
      <c r="DV17" s="74">
        <f t="shared" si="32"/>
        <v>1530.5070520289239</v>
      </c>
      <c r="DW17" s="23">
        <f t="shared" si="33"/>
        <v>3.1885563583935912E-2</v>
      </c>
      <c r="DX17" s="114">
        <f t="shared" si="34"/>
        <v>10.043952528939812</v>
      </c>
      <c r="DY17" s="179" t="str">
        <f t="shared" si="65"/>
        <v/>
      </c>
      <c r="DZ17" s="179" t="str">
        <f t="shared" si="66"/>
        <v/>
      </c>
      <c r="EA17" s="179"/>
      <c r="EB17">
        <f t="shared" si="67"/>
        <v>0</v>
      </c>
      <c r="EC17" s="13">
        <f t="shared" si="57"/>
        <v>20017.96875</v>
      </c>
      <c r="ED17" s="14">
        <f t="shared" si="58"/>
        <v>4000</v>
      </c>
      <c r="EE17" s="13">
        <f t="shared" si="59"/>
        <v>16017.96875</v>
      </c>
      <c r="EF17" s="13">
        <f t="shared" si="64"/>
        <v>1053.236301369863</v>
      </c>
      <c r="EG17" s="17">
        <f t="shared" si="60"/>
        <v>0.6</v>
      </c>
      <c r="EH17" s="197">
        <f t="shared" si="61"/>
        <v>306.44517663817408</v>
      </c>
      <c r="EJ17" s="13">
        <f t="shared" si="62"/>
        <v>2272.9009392823323</v>
      </c>
      <c r="EK17" s="131">
        <f>EW$58</f>
        <v>615.54682410803025</v>
      </c>
      <c r="EL17" s="31">
        <f>EV$60</f>
        <v>8.4144944416577439E-2</v>
      </c>
      <c r="EP17" s="2">
        <v>40725</v>
      </c>
      <c r="EQ17" s="193">
        <v>43101</v>
      </c>
      <c r="ES17" s="17">
        <v>0.55000000000000004</v>
      </c>
    </row>
    <row r="18" spans="3:164" ht="16" customHeight="1">
      <c r="C18" s="284"/>
      <c r="AF18" s="274"/>
      <c r="AG18" s="274"/>
      <c r="BA18" s="288">
        <f t="shared" si="35"/>
        <v>40739</v>
      </c>
      <c r="BB18" s="48">
        <f t="shared" si="0"/>
        <v>5378.3159131916264</v>
      </c>
      <c r="BC18" s="222">
        <f t="shared" si="36"/>
        <v>1.9460598053129913E-2</v>
      </c>
      <c r="BD18" s="173">
        <f t="shared" si="1"/>
        <v>0</v>
      </c>
      <c r="BE18" s="99">
        <f t="shared" si="37"/>
        <v>14.514571022237503</v>
      </c>
      <c r="BF18" s="4">
        <f t="shared" si="2"/>
        <v>0.17931904233415785</v>
      </c>
      <c r="BG18" s="3">
        <f t="shared" si="3"/>
        <v>0.42836832187730856</v>
      </c>
      <c r="BH18" s="379">
        <v>0.25</v>
      </c>
      <c r="BI18" s="378" t="s">
        <v>107</v>
      </c>
      <c r="BJ18" s="378"/>
      <c r="BK18" s="378"/>
      <c r="BL18" s="378"/>
      <c r="BM18" s="378"/>
      <c r="BO18" s="392"/>
      <c r="BP18" s="158">
        <f t="shared" si="38"/>
        <v>40739</v>
      </c>
      <c r="BQ18" s="373">
        <f>IF($BA$32="d",'Profils de colonie'!I44,IF($BA$32="n",'Profils de colonie'!I72,IF($BA$32="p",'Profils de colonie'!I100,IF($BA$32="a",'Profils de colonie'!I128,IF($BA$32="b",'Profils de colonie'!I156,IF($BA$32="c",'Profils de colonie'!I184,IF($BA$32="r",'Profils de colonie'!I212,IF($BA$32="s",'Profils de colonie'!I240,IF($BA$32="f",'Profils de colonie'!I268,"erreur")))))))))</f>
        <v>25</v>
      </c>
      <c r="BR18">
        <f t="shared" si="4"/>
        <v>50000</v>
      </c>
      <c r="BS18" s="68">
        <f>IF($BA$32="d",'Profils de colonie'!G44,IF($BA$32="n",'Profils de colonie'!G72,IF($BA$32="p",'Profils de colonie'!G100,IF($BA$32="a",'Profils de colonie'!G128,IF($BA$32="b",'Profils de colonie'!G156,IF($BA$32="c",'Profils de colonie'!G184,IF($BA$32="r",'Profils de colonie'!G212,IF($BA$32="s",'Profils de colonie'!G240,IF($BA$32="f",'Profils de colonie'!G268,"erreur")))))))))</f>
        <v>5</v>
      </c>
      <c r="BT18" s="13">
        <f t="shared" si="5"/>
        <v>22500</v>
      </c>
      <c r="BU18" s="17">
        <f t="shared" si="6"/>
        <v>0.45</v>
      </c>
      <c r="BV18">
        <f t="shared" si="39"/>
        <v>13500</v>
      </c>
      <c r="BW18" s="14">
        <f t="shared" si="40"/>
        <v>2420.8070715111312</v>
      </c>
      <c r="BX18" s="14">
        <f t="shared" si="7"/>
        <v>1125</v>
      </c>
      <c r="BY18" s="89">
        <f t="shared" si="41"/>
        <v>8.9925384810888573</v>
      </c>
      <c r="BZ18" s="21">
        <f t="shared" si="8"/>
        <v>20.992538481088857</v>
      </c>
      <c r="CA18" s="26">
        <f t="shared" si="9"/>
        <v>0.42836832187730856</v>
      </c>
      <c r="CB18" s="103">
        <f t="shared" si="10"/>
        <v>0.57163167812269144</v>
      </c>
      <c r="CC18" s="22">
        <f t="shared" si="11"/>
        <v>3074.4157509317051</v>
      </c>
      <c r="CD18" s="5">
        <f t="shared" si="12"/>
        <v>13500</v>
      </c>
      <c r="CE18" s="67">
        <f>IF($BA$32="d",'Profils de colonie'!K44,IF($BA$32="n",'Profils de colonie'!K72,IF($BA$32="p",'Profils de colonie'!K100,IF($BA$32="a",'Profils de colonie'!K128,IF($BA$32="b",'Profils de colonie'!K156,IF($BA$32="c",'Profils de colonie'!K184,IF($BA$32="r",'Profils de colonie'!K212,IF($BA$32="s",'Profils de colonie'!K212,IF($BA$32="f",'Profils de colonie'!K268,"erreur")))))))))</f>
        <v>0.05</v>
      </c>
      <c r="CF18" s="87">
        <f t="shared" si="42"/>
        <v>3.2000000000000001E-2</v>
      </c>
      <c r="CG18" s="63">
        <f t="shared" si="43"/>
        <v>0.16</v>
      </c>
      <c r="CH18" s="84">
        <f t="shared" si="44"/>
        <v>9.1461068499630635E-2</v>
      </c>
      <c r="CI18" s="60">
        <f t="shared" si="13"/>
        <v>491.90652014907283</v>
      </c>
      <c r="CJ18" s="61">
        <f t="shared" si="45"/>
        <v>1.1386725003450759</v>
      </c>
      <c r="CK18" s="266">
        <f t="shared" si="14"/>
        <v>0.67975613661646983</v>
      </c>
      <c r="CL18" s="267">
        <f t="shared" si="46"/>
        <v>1.6751191184722392</v>
      </c>
      <c r="CM18" s="61">
        <f t="shared" si="15"/>
        <v>23.992538481088857</v>
      </c>
      <c r="CN18" s="265">
        <v>1</v>
      </c>
      <c r="CO18" s="71">
        <f t="shared" si="16"/>
        <v>4.2749999999999995</v>
      </c>
      <c r="CP18" s="65">
        <f t="shared" si="47"/>
        <v>9.8493837450082944E-2</v>
      </c>
      <c r="CQ18" s="85">
        <f t="shared" si="48"/>
        <v>0.4801706096230608</v>
      </c>
      <c r="CR18" s="59">
        <f t="shared" si="49"/>
        <v>13068</v>
      </c>
      <c r="CS18" s="59">
        <f t="shared" si="17"/>
        <v>2582.5092307826321</v>
      </c>
      <c r="CT18" s="62">
        <f t="shared" si="18"/>
        <v>0.19762084716732722</v>
      </c>
      <c r="CU18" s="263">
        <f t="shared" si="19"/>
        <v>0.17931904233415785</v>
      </c>
      <c r="CV18" s="265">
        <f t="shared" si="50"/>
        <v>1.1020566613466793</v>
      </c>
      <c r="CW18" s="64">
        <f t="shared" si="20"/>
        <v>0.84</v>
      </c>
      <c r="CX18" s="62">
        <f t="shared" si="21"/>
        <v>20.992538481088857</v>
      </c>
      <c r="CY18" s="264">
        <v>1</v>
      </c>
      <c r="CZ18" s="70">
        <f t="shared" si="51"/>
        <v>2.2586249999999999</v>
      </c>
      <c r="DA18" s="66">
        <f t="shared" si="22"/>
        <v>6.518049768398862E-2</v>
      </c>
      <c r="DB18" s="91">
        <f t="shared" si="23"/>
        <v>4.0306110922268837E-2</v>
      </c>
      <c r="DC18" s="23">
        <f t="shared" si="24"/>
        <v>-5.0125418235442863E-3</v>
      </c>
      <c r="DD18" s="28">
        <f t="shared" si="25"/>
        <v>3.5293569098724553E-2</v>
      </c>
      <c r="DE18" s="28"/>
      <c r="DF18" s="270">
        <f t="shared" si="68"/>
        <v>5378.3159131916264</v>
      </c>
      <c r="DG18" s="178">
        <f t="shared" si="26"/>
        <v>3764.8211392341382</v>
      </c>
      <c r="DH18" s="178">
        <f t="shared" si="69"/>
        <v>3448.0304737349261</v>
      </c>
      <c r="DI18" s="116">
        <f t="shared" ref="DI18:DI29" si="70">DH18*EXP(DB18*$BQ$37)-DH18</f>
        <v>2916.8277736883401</v>
      </c>
      <c r="DJ18" s="13">
        <f t="shared" si="53"/>
        <v>8295.1436868799665</v>
      </c>
      <c r="DK18" s="199">
        <f t="shared" si="54"/>
        <v>608.85663588053831</v>
      </c>
      <c r="DL18" s="107">
        <f t="shared" si="27"/>
        <v>7686.2870509994282</v>
      </c>
      <c r="DM18" s="182">
        <f>'Immigration de varroas'!E25</f>
        <v>0</v>
      </c>
      <c r="DN18" s="109">
        <f t="shared" si="55"/>
        <v>-455.56745833487116</v>
      </c>
      <c r="DO18" s="82">
        <f t="shared" si="63"/>
        <v>-455.56745833487116</v>
      </c>
      <c r="DP18" s="198">
        <f t="shared" si="28"/>
        <v>7230.7195926645572</v>
      </c>
      <c r="DQ18" s="278">
        <f>EX$33</f>
        <v>0</v>
      </c>
      <c r="DR18" s="107">
        <f t="shared" si="56"/>
        <v>0</v>
      </c>
      <c r="DS18" s="79">
        <f t="shared" si="29"/>
        <v>7230.7195926645572</v>
      </c>
      <c r="DT18" s="23">
        <f t="shared" si="30"/>
        <v>1.9460598053129913E-2</v>
      </c>
      <c r="DU18" s="158">
        <f t="shared" si="31"/>
        <v>40739</v>
      </c>
      <c r="DV18" s="74">
        <f t="shared" si="32"/>
        <v>2303.9001622599212</v>
      </c>
      <c r="DW18" s="23">
        <f t="shared" si="33"/>
        <v>4.6078003245198423E-2</v>
      </c>
      <c r="DX18" s="114">
        <f t="shared" si="34"/>
        <v>14.514571022237503</v>
      </c>
      <c r="DY18" s="179" t="str">
        <f t="shared" si="65"/>
        <v/>
      </c>
      <c r="DZ18" s="179" t="str">
        <f t="shared" si="66"/>
        <v/>
      </c>
      <c r="EA18" s="179"/>
      <c r="EB18">
        <f t="shared" si="67"/>
        <v>0</v>
      </c>
      <c r="EC18" s="13">
        <f t="shared" si="57"/>
        <v>18478.125</v>
      </c>
      <c r="ED18" s="14">
        <f t="shared" si="58"/>
        <v>2000</v>
      </c>
      <c r="EE18" s="13">
        <f t="shared" si="59"/>
        <v>16478.125</v>
      </c>
      <c r="EF18" s="13">
        <f t="shared" si="64"/>
        <v>1083.4931506849314</v>
      </c>
      <c r="EG18" s="17">
        <f t="shared" si="60"/>
        <v>0.6</v>
      </c>
      <c r="EH18" s="197">
        <f t="shared" si="61"/>
        <v>455.56745833487116</v>
      </c>
      <c r="EJ18" s="13">
        <f t="shared" si="62"/>
        <v>2916.8277736883401</v>
      </c>
      <c r="EK18" s="131">
        <f>EX$58</f>
        <v>971.74272400292216</v>
      </c>
      <c r="EL18" s="31">
        <f>EW$60</f>
        <v>9.2958565415155778E-2</v>
      </c>
      <c r="EP18" s="2">
        <v>40739</v>
      </c>
      <c r="EQ18" s="193">
        <v>43115</v>
      </c>
      <c r="ES18" s="17">
        <v>0.56000000000000005</v>
      </c>
      <c r="ET18">
        <v>11.654999999999999</v>
      </c>
    </row>
    <row r="19" spans="3:164" ht="16" customHeight="1">
      <c r="C19" s="284"/>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D19" s="336"/>
      <c r="AF19" s="274"/>
      <c r="AG19" s="274"/>
      <c r="BA19" s="288">
        <f t="shared" si="35"/>
        <v>40756</v>
      </c>
      <c r="BB19" s="48">
        <f t="shared" si="0"/>
        <v>7230.7195926645572</v>
      </c>
      <c r="BC19" s="222">
        <f t="shared" si="36"/>
        <v>1.8571969563744399E-2</v>
      </c>
      <c r="BD19" s="173">
        <f t="shared" si="1"/>
        <v>0</v>
      </c>
      <c r="BE19" s="99">
        <f t="shared" si="37"/>
        <v>20.151157046094426</v>
      </c>
      <c r="BF19" s="4">
        <f t="shared" si="2"/>
        <v>0.25022297520436654</v>
      </c>
      <c r="BG19" s="3">
        <f t="shared" si="3"/>
        <v>0.44236210732993247</v>
      </c>
      <c r="BH19" s="380"/>
      <c r="BI19" s="378"/>
      <c r="BJ19" s="378"/>
      <c r="BK19" s="378"/>
      <c r="BL19" s="378"/>
      <c r="BM19" s="378"/>
      <c r="BO19" s="392"/>
      <c r="BP19" s="158">
        <f t="shared" si="38"/>
        <v>40756</v>
      </c>
      <c r="BQ19" s="373">
        <f>IF($BA$32="d",'Profils de colonie'!I45,IF($BA$32="n",'Profils de colonie'!I73,IF($BA$32="p",'Profils de colonie'!I101,IF($BA$32="a",'Profils de colonie'!I129,IF($BA$32="b",'Profils de colonie'!I157,IF($BA$32="c",'Profils de colonie'!I185,IF($BA$32="r",'Profils de colonie'!I213,IF($BA$32="s",'Profils de colonie'!I241,IF($BA$32="f",'Profils de colonie'!I269,"erreur")))))))))</f>
        <v>25</v>
      </c>
      <c r="BR19">
        <f t="shared" si="4"/>
        <v>50000</v>
      </c>
      <c r="BS19" s="68">
        <f>IF($BA$32="d",'Profils de colonie'!G45,IF($BA$32="n",'Profils de colonie'!G73,IF($BA$32="p",'Profils de colonie'!G101,IF($BA$32="a",'Profils de colonie'!G129,IF($BA$32="b",'Profils de colonie'!G157,IF($BA$32="c",'Profils de colonie'!G185,IF($BA$32="r",'Profils de colonie'!G213,IF($BA$32="s",'Profils de colonie'!G241,IF($BA$32="f",'Profils de colonie'!G269,"erreur")))))))))</f>
        <v>4.5</v>
      </c>
      <c r="BT19" s="13">
        <f t="shared" si="5"/>
        <v>20250</v>
      </c>
      <c r="BU19" s="17">
        <f t="shared" si="6"/>
        <v>0.40500000000000003</v>
      </c>
      <c r="BV19">
        <f t="shared" si="39"/>
        <v>12150</v>
      </c>
      <c r="BW19" s="14">
        <f t="shared" si="40"/>
        <v>3040.2091487330536</v>
      </c>
      <c r="BX19" s="14">
        <f t="shared" si="7"/>
        <v>1012.5</v>
      </c>
      <c r="BY19" s="89">
        <f t="shared" si="41"/>
        <v>9.5193410593779895</v>
      </c>
      <c r="BZ19" s="21">
        <f t="shared" si="8"/>
        <v>21.519341059377989</v>
      </c>
      <c r="CA19" s="26">
        <f t="shared" si="9"/>
        <v>0.44236210732993247</v>
      </c>
      <c r="CB19" s="103">
        <f t="shared" si="10"/>
        <v>0.55763789267006758</v>
      </c>
      <c r="CC19" s="22">
        <f t="shared" si="11"/>
        <v>4032.1232361416332</v>
      </c>
      <c r="CD19" s="5">
        <f t="shared" si="12"/>
        <v>12150</v>
      </c>
      <c r="CE19" s="67">
        <f>IF($BA$32="d",'Profils de colonie'!K45,IF($BA$32="n",'Profils de colonie'!K73,IF($BA$32="p",'Profils de colonie'!K101,IF($BA$32="a",'Profils de colonie'!K129,IF($BA$32="b",'Profils de colonie'!K157,IF($BA$32="c",'Profils de colonie'!K185,IF($BA$32="r",'Profils de colonie'!K213,IF($BA$32="s",'Profils de colonie'!K213,IF($BA$32="f",'Profils de colonie'!K269,"erreur")))))))))</f>
        <v>0.05</v>
      </c>
      <c r="CF19" s="87">
        <f t="shared" si="42"/>
        <v>3.2000000000000001E-2</v>
      </c>
      <c r="CG19" s="63">
        <f t="shared" si="43"/>
        <v>0.16</v>
      </c>
      <c r="CH19" s="84">
        <f t="shared" si="44"/>
        <v>8.9222062827210818E-2</v>
      </c>
      <c r="CI19" s="60">
        <f t="shared" si="13"/>
        <v>645.13971778266136</v>
      </c>
      <c r="CJ19" s="61">
        <f t="shared" si="45"/>
        <v>1.6593099737208368</v>
      </c>
      <c r="CK19" s="266">
        <f t="shared" si="14"/>
        <v>0.80972977372907073</v>
      </c>
      <c r="CL19" s="267">
        <f t="shared" si="46"/>
        <v>2.0492144756875756</v>
      </c>
      <c r="CM19" s="61">
        <f t="shared" si="15"/>
        <v>24.519341059377989</v>
      </c>
      <c r="CN19" s="265">
        <v>1</v>
      </c>
      <c r="CO19" s="71">
        <f t="shared" si="16"/>
        <v>4.2749999999999995</v>
      </c>
      <c r="CP19" s="65">
        <f t="shared" si="47"/>
        <v>9.8493837450082944E-2</v>
      </c>
      <c r="CQ19" s="85">
        <f t="shared" si="48"/>
        <v>0.46841582984285679</v>
      </c>
      <c r="CR19" s="59">
        <f t="shared" si="49"/>
        <v>11761.199999999999</v>
      </c>
      <c r="CS19" s="59">
        <f t="shared" si="17"/>
        <v>3386.9835183589721</v>
      </c>
      <c r="CT19" s="62">
        <f t="shared" si="18"/>
        <v>0.28797941692675683</v>
      </c>
      <c r="CU19" s="263">
        <f t="shared" si="19"/>
        <v>0.25022297520436654</v>
      </c>
      <c r="CV19" s="265">
        <f t="shared" si="50"/>
        <v>1.1508865874725001</v>
      </c>
      <c r="CW19" s="64">
        <f t="shared" si="20"/>
        <v>0.84</v>
      </c>
      <c r="CX19" s="62">
        <f t="shared" si="21"/>
        <v>21.519341059377989</v>
      </c>
      <c r="CY19" s="264">
        <v>1</v>
      </c>
      <c r="CZ19" s="70">
        <f t="shared" si="51"/>
        <v>2.2586249999999999</v>
      </c>
      <c r="DA19" s="66">
        <f t="shared" si="22"/>
        <v>6.518049768398862E-2</v>
      </c>
      <c r="DB19" s="91">
        <f t="shared" si="23"/>
        <v>3.931940026528033E-2</v>
      </c>
      <c r="DC19" s="23">
        <f t="shared" si="24"/>
        <v>-5.0125418235442863E-3</v>
      </c>
      <c r="DD19" s="28">
        <f t="shared" si="25"/>
        <v>3.4306858441736046E-2</v>
      </c>
      <c r="DE19" s="28"/>
      <c r="DF19" s="270">
        <f t="shared" si="68"/>
        <v>7230.7195926645572</v>
      </c>
      <c r="DG19" s="178">
        <f t="shared" si="26"/>
        <v>5061.50371486519</v>
      </c>
      <c r="DH19" s="178">
        <f t="shared" si="69"/>
        <v>4590.99359068784</v>
      </c>
      <c r="DI19" s="116">
        <f t="shared" si="70"/>
        <v>3757.4824733639743</v>
      </c>
      <c r="DJ19" s="13">
        <f t="shared" si="53"/>
        <v>10988.202066028531</v>
      </c>
      <c r="DK19" s="199">
        <f t="shared" si="54"/>
        <v>806.52487730614484</v>
      </c>
      <c r="DL19" s="107">
        <f t="shared" si="27"/>
        <v>10181.677188722386</v>
      </c>
      <c r="DM19" s="182">
        <f>'Immigration de varroas'!E26</f>
        <v>0</v>
      </c>
      <c r="DN19" s="109">
        <f t="shared" si="55"/>
        <v>-591.04063300375162</v>
      </c>
      <c r="DO19" s="82">
        <f t="shared" si="63"/>
        <v>-591.04063300375162</v>
      </c>
      <c r="DP19" s="198">
        <f t="shared" si="28"/>
        <v>9590.6365557186346</v>
      </c>
      <c r="DQ19" s="278">
        <f>EY$33</f>
        <v>0</v>
      </c>
      <c r="DR19" s="107">
        <f t="shared" si="56"/>
        <v>0</v>
      </c>
      <c r="DS19" s="79">
        <f t="shared" si="29"/>
        <v>9590.6365557186346</v>
      </c>
      <c r="DT19" s="23">
        <f t="shared" si="30"/>
        <v>1.8571969563744399E-2</v>
      </c>
      <c r="DU19" s="158">
        <f t="shared" si="31"/>
        <v>40756</v>
      </c>
      <c r="DV19" s="74">
        <f t="shared" si="32"/>
        <v>3198.5963565229245</v>
      </c>
      <c r="DW19" s="23">
        <f t="shared" si="33"/>
        <v>6.3971927130458489E-2</v>
      </c>
      <c r="DX19" s="114">
        <f t="shared" si="34"/>
        <v>20.151157046094426</v>
      </c>
      <c r="DY19" s="179" t="str">
        <f t="shared" si="65"/>
        <v/>
      </c>
      <c r="DZ19" s="179" t="str">
        <f t="shared" si="66"/>
        <v/>
      </c>
      <c r="EA19" s="179"/>
      <c r="EB19">
        <f t="shared" si="67"/>
        <v>0</v>
      </c>
      <c r="EC19" s="13">
        <f t="shared" si="57"/>
        <v>15398.4375</v>
      </c>
      <c r="ED19" s="14">
        <f t="shared" si="58"/>
        <v>0</v>
      </c>
      <c r="EE19" s="13">
        <f t="shared" si="59"/>
        <v>15398.4375</v>
      </c>
      <c r="EF19" s="13">
        <f t="shared" si="64"/>
        <v>1012.5</v>
      </c>
      <c r="EG19" s="17">
        <f t="shared" si="60"/>
        <v>0.6</v>
      </c>
      <c r="EH19" s="197">
        <f t="shared" si="61"/>
        <v>591.04063300375162</v>
      </c>
      <c r="EJ19" s="13">
        <f t="shared" si="62"/>
        <v>3757.4824733639743</v>
      </c>
      <c r="EK19" s="131">
        <f>EY$58</f>
        <v>1489.4481018308511</v>
      </c>
      <c r="EL19" s="31">
        <f>EX$60</f>
        <v>0.1072688971080959</v>
      </c>
      <c r="EP19" s="2">
        <v>40756</v>
      </c>
      <c r="EQ19" s="193">
        <v>43132</v>
      </c>
      <c r="ES19" s="17">
        <v>0.56000000000000005</v>
      </c>
    </row>
    <row r="20" spans="3:164" ht="16" customHeight="1">
      <c r="C20" s="284"/>
      <c r="D20" s="336"/>
      <c r="E20" s="336"/>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D20" s="336"/>
      <c r="AF20" s="274"/>
      <c r="AG20" s="274"/>
      <c r="BA20" s="288">
        <f t="shared" si="35"/>
        <v>40770</v>
      </c>
      <c r="BB20" s="48">
        <f t="shared" si="0"/>
        <v>9590.6365557186346</v>
      </c>
      <c r="BC20" s="222">
        <f t="shared" si="36"/>
        <v>-8.9463079573823712E-2</v>
      </c>
      <c r="BD20" s="173">
        <f t="shared" si="1"/>
        <v>0</v>
      </c>
      <c r="BE20" s="99">
        <f t="shared" si="37"/>
        <v>30.283070149631577</v>
      </c>
      <c r="BF20" s="4">
        <f t="shared" si="2"/>
        <v>0.34995922603018592</v>
      </c>
      <c r="BG20" s="3">
        <f t="shared" si="3"/>
        <v>0.44105687076243161</v>
      </c>
      <c r="BH20" s="381" t="s">
        <v>108</v>
      </c>
      <c r="BI20" s="378" t="s">
        <v>109</v>
      </c>
      <c r="BJ20" s="378"/>
      <c r="BK20" s="378"/>
      <c r="BL20" s="378"/>
      <c r="BM20" s="378"/>
      <c r="BO20" s="392"/>
      <c r="BP20" s="158">
        <f t="shared" si="38"/>
        <v>40770</v>
      </c>
      <c r="BQ20" s="373">
        <f>IF($BA$32="d",'Profils de colonie'!I46,IF($BA$32="n",'Profils de colonie'!I74,IF($BA$32="p",'Profils de colonie'!I102,IF($BA$32="a",'Profils de colonie'!I130,IF($BA$32="b",'Profils de colonie'!I158,IF($BA$32="c",'Profils de colonie'!I186,IF($BA$32="r",'Profils de colonie'!I214,IF($BA$32="s",'Profils de colonie'!I242,IF($BA$32="f",'Profils de colonie'!I270,"erreur")))))))))</f>
        <v>22</v>
      </c>
      <c r="BR20">
        <f t="shared" si="4"/>
        <v>44000</v>
      </c>
      <c r="BS20" s="68">
        <f>IF($BA$32="d",'Profils de colonie'!G46,IF($BA$32="n",'Profils de colonie'!G74,IF($BA$32="p",'Profils de colonie'!G102,IF($BA$32="a",'Profils de colonie'!G130,IF($BA$32="b",'Profils de colonie'!G158,IF($BA$32="c",'Profils de colonie'!G186,IF($BA$32="r",'Profils de colonie'!G214,IF($BA$32="s",'Profils de colonie'!G242,IF($BA$32="f",'Profils de colonie'!G270,"erreur")))))))))</f>
        <v>4</v>
      </c>
      <c r="BT20" s="13">
        <f t="shared" si="5"/>
        <v>18000</v>
      </c>
      <c r="BU20" s="17">
        <f t="shared" si="6"/>
        <v>0.40909090909090912</v>
      </c>
      <c r="BV20">
        <f t="shared" si="39"/>
        <v>10800</v>
      </c>
      <c r="BW20" s="14">
        <f t="shared" si="40"/>
        <v>3779.559641126008</v>
      </c>
      <c r="BX20" s="14">
        <f t="shared" si="7"/>
        <v>900</v>
      </c>
      <c r="BY20" s="89">
        <f t="shared" si="41"/>
        <v>9.4690893801104821</v>
      </c>
      <c r="BZ20" s="21">
        <f t="shared" si="8"/>
        <v>21.469089380110482</v>
      </c>
      <c r="CA20" s="26">
        <f t="shared" si="9"/>
        <v>0.44105687076243161</v>
      </c>
      <c r="CB20" s="103">
        <f t="shared" si="10"/>
        <v>0.55894312923756839</v>
      </c>
      <c r="CC20" s="22">
        <f t="shared" si="11"/>
        <v>5360.6204078335886</v>
      </c>
      <c r="CD20" s="5">
        <f t="shared" si="12"/>
        <v>10800</v>
      </c>
      <c r="CE20" s="67">
        <f>IF($BA$32="d",'Profils de colonie'!K46,IF($BA$32="n",'Profils de colonie'!K74,IF($BA$32="p",'Profils de colonie'!K102,IF($BA$32="a",'Profils de colonie'!K130,IF($BA$32="b",'Profils de colonie'!K158,IF($BA$32="c",'Profils de colonie'!K186,IF($BA$32="r",'Profils de colonie'!K214,IF($BA$32="s",'Profils de colonie'!K214,IF($BA$32="f",'Profils de colonie'!K270,"erreur")))))))))</f>
        <v>0.05</v>
      </c>
      <c r="CF20" s="87">
        <f t="shared" si="42"/>
        <v>3.2000000000000001E-2</v>
      </c>
      <c r="CG20" s="63">
        <f t="shared" si="43"/>
        <v>0.16</v>
      </c>
      <c r="CH20" s="84">
        <f t="shared" si="44"/>
        <v>8.9430900678010947E-2</v>
      </c>
      <c r="CI20" s="60">
        <f t="shared" si="13"/>
        <v>857.69926525337416</v>
      </c>
      <c r="CJ20" s="61">
        <f t="shared" si="45"/>
        <v>2.4817687073303647</v>
      </c>
      <c r="CK20" s="266">
        <f t="shared" si="14"/>
        <v>0.91640476075393063</v>
      </c>
      <c r="CL20" s="267">
        <f t="shared" si="46"/>
        <v>2.7081578071338277</v>
      </c>
      <c r="CM20" s="61">
        <f t="shared" si="15"/>
        <v>24.469089380110482</v>
      </c>
      <c r="CN20" s="265">
        <v>1</v>
      </c>
      <c r="CO20" s="71">
        <f t="shared" si="16"/>
        <v>4.2749999999999995</v>
      </c>
      <c r="CP20" s="65">
        <f t="shared" si="47"/>
        <v>9.8493837450082944E-2</v>
      </c>
      <c r="CQ20" s="85">
        <f t="shared" si="48"/>
        <v>0.46951222855955743</v>
      </c>
      <c r="CR20" s="59">
        <f t="shared" si="49"/>
        <v>10454.4</v>
      </c>
      <c r="CS20" s="59">
        <f t="shared" si="17"/>
        <v>4502.9211425802141</v>
      </c>
      <c r="CT20" s="62">
        <f t="shared" si="18"/>
        <v>0.43072018887551788</v>
      </c>
      <c r="CU20" s="263">
        <f t="shared" si="19"/>
        <v>0.34995922603018592</v>
      </c>
      <c r="CV20" s="265">
        <f t="shared" si="50"/>
        <v>1.2307689755531419</v>
      </c>
      <c r="CW20" s="64">
        <f t="shared" si="20"/>
        <v>0.84</v>
      </c>
      <c r="CX20" s="62">
        <f t="shared" si="21"/>
        <v>21.469089380110482</v>
      </c>
      <c r="CY20" s="264">
        <v>1</v>
      </c>
      <c r="CZ20" s="70">
        <f t="shared" si="51"/>
        <v>2.2586249999999999</v>
      </c>
      <c r="DA20" s="66">
        <f t="shared" si="22"/>
        <v>6.518049768398862E-2</v>
      </c>
      <c r="DB20" s="91">
        <f t="shared" si="23"/>
        <v>3.9411433320625092E-2</v>
      </c>
      <c r="DC20" s="23">
        <f t="shared" si="24"/>
        <v>-5.0125418235442863E-3</v>
      </c>
      <c r="DD20" s="28">
        <f t="shared" si="25"/>
        <v>3.4398891497080808E-2</v>
      </c>
      <c r="DE20" s="28"/>
      <c r="DF20" s="270">
        <f t="shared" si="68"/>
        <v>9590.6365557186346</v>
      </c>
      <c r="DG20" s="178">
        <f t="shared" si="26"/>
        <v>6713.445589003044</v>
      </c>
      <c r="DH20" s="178">
        <f t="shared" si="69"/>
        <v>5993.301684875476</v>
      </c>
      <c r="DI20" s="116">
        <f t="shared" si="70"/>
        <v>4920.461550157801</v>
      </c>
      <c r="DJ20" s="13">
        <f t="shared" si="53"/>
        <v>14511.098105876436</v>
      </c>
      <c r="DK20" s="199">
        <f t="shared" si="54"/>
        <v>1065.1025116841029</v>
      </c>
      <c r="DL20" s="107">
        <f t="shared" si="27"/>
        <v>13445.995594192333</v>
      </c>
      <c r="DM20" s="182">
        <f>'Immigration de varroas'!E27</f>
        <v>0</v>
      </c>
      <c r="DN20" s="109">
        <f t="shared" si="55"/>
        <v>-1145.4841668653053</v>
      </c>
      <c r="DO20" s="82">
        <f t="shared" si="63"/>
        <v>-1145.4841668653053</v>
      </c>
      <c r="DP20" s="198">
        <f t="shared" si="28"/>
        <v>12300.511427327026</v>
      </c>
      <c r="DQ20" s="278">
        <f>EZ$33</f>
        <v>0.8</v>
      </c>
      <c r="DR20" s="107">
        <f t="shared" si="56"/>
        <v>9840.4091418616226</v>
      </c>
      <c r="DS20" s="79">
        <f t="shared" si="29"/>
        <v>2460.1022854654038</v>
      </c>
      <c r="DT20" s="23">
        <f t="shared" si="30"/>
        <v>-8.9463079573823712E-2</v>
      </c>
      <c r="DU20" s="158">
        <f t="shared" si="31"/>
        <v>40770</v>
      </c>
      <c r="DV20" s="74">
        <f t="shared" si="32"/>
        <v>4230.0161478850459</v>
      </c>
      <c r="DW20" s="23">
        <f t="shared" si="33"/>
        <v>9.6136730633751041E-2</v>
      </c>
      <c r="DX20" s="114">
        <f t="shared" si="34"/>
        <v>30.283070149631577</v>
      </c>
      <c r="DY20" s="179" t="str">
        <f t="shared" si="65"/>
        <v/>
      </c>
      <c r="DZ20" s="179" t="str">
        <f t="shared" si="66"/>
        <v/>
      </c>
      <c r="EA20" s="179"/>
      <c r="EB20">
        <f t="shared" si="67"/>
        <v>0</v>
      </c>
      <c r="EC20" s="13">
        <f t="shared" si="57"/>
        <v>13858.59375</v>
      </c>
      <c r="ED20" s="14">
        <f t="shared" si="58"/>
        <v>-6000</v>
      </c>
      <c r="EE20" s="13">
        <f t="shared" si="59"/>
        <v>19858.59375</v>
      </c>
      <c r="EF20" s="13">
        <f t="shared" si="64"/>
        <v>1305.7705479452054</v>
      </c>
      <c r="EG20" s="17">
        <f t="shared" si="60"/>
        <v>0.6</v>
      </c>
      <c r="EH20" s="197">
        <f t="shared" si="61"/>
        <v>1145.4841668653053</v>
      </c>
      <c r="EJ20" s="13">
        <f t="shared" si="62"/>
        <v>4920.461550157801</v>
      </c>
      <c r="EK20" s="131">
        <f>EZ$58</f>
        <v>2220.5923133020083</v>
      </c>
      <c r="EL20" s="31">
        <f>EY$60</f>
        <v>0.12248472808377102</v>
      </c>
      <c r="EN20" s="31"/>
      <c r="EP20" s="2">
        <v>40770</v>
      </c>
      <c r="EQ20" s="193">
        <v>43146</v>
      </c>
      <c r="ET20">
        <v>13.23</v>
      </c>
    </row>
    <row r="21" spans="3:164" ht="16" customHeight="1">
      <c r="C21" s="455" t="s">
        <v>110</v>
      </c>
      <c r="D21" s="456"/>
      <c r="E21" s="333"/>
      <c r="F21" s="333"/>
      <c r="G21" s="333"/>
      <c r="H21" s="333"/>
      <c r="I21" s="333"/>
      <c r="J21" s="333"/>
      <c r="K21" s="333"/>
      <c r="L21" s="333"/>
      <c r="M21" s="333"/>
      <c r="N21" s="333"/>
      <c r="O21" s="333"/>
      <c r="P21" s="333"/>
      <c r="Q21" s="333"/>
      <c r="R21" s="333"/>
      <c r="S21" s="333">
        <v>0.8</v>
      </c>
      <c r="T21" s="333"/>
      <c r="U21" s="333"/>
      <c r="V21" s="333"/>
      <c r="W21" s="333"/>
      <c r="X21" s="333"/>
      <c r="Y21" s="333"/>
      <c r="Z21" s="333"/>
      <c r="AA21" s="334"/>
      <c r="AB21" s="335"/>
      <c r="AC21" s="453"/>
      <c r="AD21" s="454"/>
      <c r="AF21" s="274"/>
      <c r="AG21" s="274"/>
      <c r="BA21" s="288">
        <f t="shared" si="35"/>
        <v>40787</v>
      </c>
      <c r="BB21" s="48">
        <f t="shared" si="0"/>
        <v>2460.1022854654038</v>
      </c>
      <c r="BC21" s="222">
        <f t="shared" si="36"/>
        <v>1.4185496162937988E-2</v>
      </c>
      <c r="BD21" s="173">
        <f t="shared" si="1"/>
        <v>0</v>
      </c>
      <c r="BE21" s="99">
        <f t="shared" si="37"/>
        <v>8.9596445867041368</v>
      </c>
      <c r="BF21" s="4">
        <f t="shared" si="2"/>
        <v>0.12923518581444415</v>
      </c>
      <c r="BG21" s="3">
        <f t="shared" si="3"/>
        <v>0.43935003028936037</v>
      </c>
      <c r="BH21" s="380"/>
      <c r="BI21" s="378"/>
      <c r="BJ21" s="378"/>
      <c r="BK21" s="378"/>
      <c r="BL21" s="378"/>
      <c r="BM21" s="378"/>
      <c r="BO21" s="392"/>
      <c r="BP21" s="158">
        <f t="shared" si="38"/>
        <v>40787</v>
      </c>
      <c r="BQ21" s="373">
        <f>IF($BA$32="d",'Profils de colonie'!I47,IF($BA$32="n",'Profils de colonie'!I75,IF($BA$32="p",'Profils de colonie'!I103,IF($BA$32="a",'Profils de colonie'!I131,IF($BA$32="b",'Profils de colonie'!I159,IF($BA$32="c",'Profils de colonie'!I187,IF($BA$32="r",'Profils de colonie'!I215,IF($BA$32="s",'Profils de colonie'!I243,IF($BA$32="f",'Profils de colonie'!I271,"erreur")))))))))</f>
        <v>19</v>
      </c>
      <c r="BR21">
        <f t="shared" si="4"/>
        <v>38000</v>
      </c>
      <c r="BS21" s="68">
        <f>IF($BA$32="d",'Profils de colonie'!G47,IF($BA$32="n",'Profils de colonie'!G75,IF($BA$32="p",'Profils de colonie'!G103,IF($BA$32="a",'Profils de colonie'!G131,IF($BA$32="b",'Profils de colonie'!G159,IF($BA$32="c",'Profils de colonie'!G187,IF($BA$32="r",'Profils de colonie'!G215,IF($BA$32="s",'Profils de colonie'!G243,IF($BA$32="f",'Profils de colonie'!G271,"erreur")))))))))</f>
        <v>3.5</v>
      </c>
      <c r="BT21" s="13">
        <f t="shared" si="5"/>
        <v>15750</v>
      </c>
      <c r="BU21" s="17">
        <f t="shared" si="6"/>
        <v>0.41447368421052633</v>
      </c>
      <c r="BV21">
        <f t="shared" si="39"/>
        <v>9450</v>
      </c>
      <c r="BW21" s="14">
        <f t="shared" si="40"/>
        <v>1221.2725059464972</v>
      </c>
      <c r="BX21" s="14">
        <f t="shared" si="7"/>
        <v>787.5</v>
      </c>
      <c r="BY21" s="89">
        <f t="shared" si="41"/>
        <v>9.4037289722737185</v>
      </c>
      <c r="BZ21" s="21">
        <f t="shared" si="8"/>
        <v>21.403728972273719</v>
      </c>
      <c r="CA21" s="26">
        <f t="shared" si="9"/>
        <v>0.43935003028936037</v>
      </c>
      <c r="CB21" s="103">
        <f t="shared" si="10"/>
        <v>0.56064996971063963</v>
      </c>
      <c r="CC21" s="22">
        <f t="shared" si="11"/>
        <v>1379.256271831254</v>
      </c>
      <c r="CD21" s="5">
        <f t="shared" si="12"/>
        <v>9450</v>
      </c>
      <c r="CE21" s="67">
        <f>IF($BA$32="d",'Profils de colonie'!K47,IF($BA$32="n",'Profils de colonie'!K75,IF($BA$32="p",'Profils de colonie'!K103,IF($BA$32="a",'Profils de colonie'!K131,IF($BA$32="b",'Profils de colonie'!K159,IF($BA$32="c",'Profils de colonie'!K187,IF($BA$32="r",'Profils de colonie'!K215,IF($BA$32="s",'Profils de colonie'!K215,IF($BA$32="f",'Profils de colonie'!K271,"erreur")))))))))</f>
        <v>0.02</v>
      </c>
      <c r="CF21" s="87">
        <f t="shared" si="42"/>
        <v>1.2800000000000001E-2</v>
      </c>
      <c r="CG21" s="63">
        <f t="shared" si="43"/>
        <v>6.4000000000000001E-2</v>
      </c>
      <c r="CH21" s="84">
        <f t="shared" si="44"/>
        <v>3.5881598061480939E-2</v>
      </c>
      <c r="CI21" s="60">
        <f t="shared" si="13"/>
        <v>88.272401397200255</v>
      </c>
      <c r="CJ21" s="61">
        <f t="shared" si="45"/>
        <v>0.72976522319113968</v>
      </c>
      <c r="CK21" s="266">
        <f t="shared" si="14"/>
        <v>0.51797785557245568</v>
      </c>
      <c r="CL21" s="267">
        <f t="shared" si="46"/>
        <v>1.4088734013245066</v>
      </c>
      <c r="CM21" s="61">
        <f t="shared" si="15"/>
        <v>24.403728972273719</v>
      </c>
      <c r="CN21" s="265">
        <v>1</v>
      </c>
      <c r="CO21" s="71">
        <f t="shared" si="16"/>
        <v>4.2749999999999995</v>
      </c>
      <c r="CP21" s="65">
        <f t="shared" si="47"/>
        <v>9.8493837450082944E-2</v>
      </c>
      <c r="CQ21" s="85">
        <f t="shared" si="48"/>
        <v>0.52476837164915868</v>
      </c>
      <c r="CR21" s="59">
        <f t="shared" si="49"/>
        <v>9329.0399999999991</v>
      </c>
      <c r="CS21" s="59">
        <f t="shared" si="17"/>
        <v>1290.9838704340539</v>
      </c>
      <c r="CT21" s="62">
        <f t="shared" si="18"/>
        <v>0.13838335674775262</v>
      </c>
      <c r="CU21" s="263">
        <f t="shared" si="19"/>
        <v>0.12923518581444415</v>
      </c>
      <c r="CV21" s="265">
        <f t="shared" si="50"/>
        <v>1.0707787132192361</v>
      </c>
      <c r="CW21" s="64">
        <f t="shared" si="20"/>
        <v>0.93599999999999994</v>
      </c>
      <c r="CX21" s="62">
        <f t="shared" si="21"/>
        <v>21.403728972273719</v>
      </c>
      <c r="CY21" s="264">
        <v>1</v>
      </c>
      <c r="CZ21" s="70">
        <f t="shared" si="51"/>
        <v>2.2586249999999999</v>
      </c>
      <c r="DA21" s="66">
        <f t="shared" si="22"/>
        <v>6.518049768398862E-2</v>
      </c>
      <c r="DB21" s="91">
        <f t="shared" si="23"/>
        <v>3.7738779919825181E-2</v>
      </c>
      <c r="DC21" s="23">
        <f t="shared" si="24"/>
        <v>-5.0125418235442863E-3</v>
      </c>
      <c r="DD21" s="28">
        <f t="shared" si="25"/>
        <v>3.2726238096280898E-2</v>
      </c>
      <c r="DE21" s="28"/>
      <c r="DF21" s="270">
        <f t="shared" si="68"/>
        <v>2460.1022854654038</v>
      </c>
      <c r="DG21" s="178">
        <f t="shared" si="26"/>
        <v>1722.0715998257826</v>
      </c>
      <c r="DH21" s="178">
        <f t="shared" si="69"/>
        <v>1511.1441281803372</v>
      </c>
      <c r="DI21" s="116">
        <f t="shared" si="70"/>
        <v>1171.5216924349074</v>
      </c>
      <c r="DJ21" s="13">
        <f t="shared" si="53"/>
        <v>3631.6239779003113</v>
      </c>
      <c r="DK21" s="199">
        <f t="shared" si="54"/>
        <v>266.5581744490737</v>
      </c>
      <c r="DL21" s="107">
        <f t="shared" si="27"/>
        <v>3365.0658034512376</v>
      </c>
      <c r="DM21" s="182">
        <f>'Immigration de varroas'!E28</f>
        <v>0</v>
      </c>
      <c r="DN21" s="109">
        <f t="shared" si="55"/>
        <v>-312.62759861464076</v>
      </c>
      <c r="DO21" s="82">
        <f t="shared" si="63"/>
        <v>-312.62759861464076</v>
      </c>
      <c r="DP21" s="198">
        <f t="shared" si="28"/>
        <v>3052.4382048365969</v>
      </c>
      <c r="DQ21" s="278">
        <f>FA$33</f>
        <v>0</v>
      </c>
      <c r="DR21" s="107">
        <f t="shared" si="56"/>
        <v>0</v>
      </c>
      <c r="DS21" s="79">
        <f t="shared" si="29"/>
        <v>3052.4382048365969</v>
      </c>
      <c r="DT21" s="23">
        <f t="shared" si="30"/>
        <v>1.4185496162937988E-2</v>
      </c>
      <c r="DU21" s="158">
        <f t="shared" si="31"/>
        <v>40787</v>
      </c>
      <c r="DV21" s="74">
        <f t="shared" si="32"/>
        <v>1080.8460136341498</v>
      </c>
      <c r="DW21" s="23">
        <f t="shared" si="33"/>
        <v>2.84433161482671E-2</v>
      </c>
      <c r="DX21" s="114">
        <f t="shared" si="34"/>
        <v>8.9596445867041368</v>
      </c>
      <c r="DY21" s="179" t="str">
        <f t="shared" si="65"/>
        <v/>
      </c>
      <c r="DZ21" s="179" t="str">
        <f t="shared" si="66"/>
        <v/>
      </c>
      <c r="EA21" s="179"/>
      <c r="EB21">
        <f t="shared" si="67"/>
        <v>0</v>
      </c>
      <c r="EC21" s="13">
        <f t="shared" si="57"/>
        <v>12318.75</v>
      </c>
      <c r="ED21" s="14">
        <f t="shared" si="58"/>
        <v>-6000</v>
      </c>
      <c r="EE21" s="13">
        <f t="shared" si="59"/>
        <v>18318.75</v>
      </c>
      <c r="EF21" s="13">
        <f t="shared" si="64"/>
        <v>1204.5205479452054</v>
      </c>
      <c r="EG21" s="17">
        <f t="shared" si="60"/>
        <v>0.6</v>
      </c>
      <c r="EH21" s="197">
        <f t="shared" si="61"/>
        <v>312.62759861464076</v>
      </c>
      <c r="EJ21" s="13">
        <f t="shared" si="62"/>
        <v>1171.5216924349074</v>
      </c>
      <c r="EK21" s="131">
        <f>FA$58</f>
        <v>643.85415523616484</v>
      </c>
      <c r="EL21" s="31">
        <f>EZ$60</f>
        <v>0.13707396986129244</v>
      </c>
      <c r="EP21" s="2">
        <v>40787</v>
      </c>
      <c r="EQ21" s="193">
        <v>43160</v>
      </c>
    </row>
    <row r="22" spans="3:164" ht="30.0" customHeight="1">
      <c r="C22" s="286" t="s">
        <v>111</v>
      </c>
      <c r="D22" s="290" t="s">
        <v>112</v>
      </c>
      <c r="E22" s="457" t="str">
        <f>IF($D$22="a",'Profils de colonie'!B114,IF($D$22="d",'Profils de colonie'!B30,IF($D$22="b",'Profils de colonie'!B142,IF($D$22="c",'Profils de colonie'!B170,IF($D$22="r",'Profils de colonie'!B198,IF($D$22="s",'Profils de colonie'!B226,IF($D$22="f",'Profils de colonie'!B254,IF($D$22="n",'Profils de colonie'!B58,IF($D$22="p",'Profils de colonie'!B86,"erreur")))))))))</f>
        <v>D : colonie par défaut en climat tempéré, conduite pour éviter l’essaimage (légère reprise du couvain en automne)</v>
      </c>
      <c r="F22" s="458"/>
      <c r="G22" s="458"/>
      <c r="H22" s="458"/>
      <c r="I22" s="458"/>
      <c r="J22" s="458"/>
      <c r="K22" s="458"/>
      <c r="L22" s="458"/>
      <c r="M22" s="458"/>
      <c r="N22" s="458"/>
      <c r="O22" s="458"/>
      <c r="P22" s="458"/>
      <c r="Q22" s="458"/>
      <c r="R22" s="458"/>
      <c r="S22" s="458"/>
      <c r="T22" s="458"/>
      <c r="U22" s="458"/>
      <c r="V22" s="458"/>
      <c r="W22" s="458"/>
      <c r="X22" s="458"/>
      <c r="Y22" s="458"/>
      <c r="Z22" s="458"/>
      <c r="AA22" s="458"/>
      <c r="AB22" s="459"/>
      <c r="AC22" s="461" t="s">
        <v>113</v>
      </c>
      <c r="AD22" s="461"/>
      <c r="BA22" s="288">
        <f t="shared" si="35"/>
        <v>40801</v>
      </c>
      <c r="BB22" s="48">
        <f t="shared" si="0"/>
        <v>3052.4382048365969</v>
      </c>
      <c r="BC22" s="222">
        <f t="shared" si="36"/>
        <v>1.6264595352430109E-2</v>
      </c>
      <c r="BD22" s="173">
        <f t="shared" si="1"/>
        <v>0</v>
      </c>
      <c r="BE22" s="99">
        <f t="shared" si="37"/>
        <v>11.907250671366304</v>
      </c>
      <c r="BF22" s="4">
        <f t="shared" si="2"/>
        <v>0.14937273028362208</v>
      </c>
      <c r="BG22" s="3">
        <f t="shared" si="3"/>
        <v>0.39628172098980846</v>
      </c>
      <c r="BH22" s="400" t="s">
        <v>114</v>
      </c>
      <c r="BI22" s="378" t="s">
        <v>115</v>
      </c>
      <c r="BJ22" s="378"/>
      <c r="BK22" s="378"/>
      <c r="BL22" s="378"/>
      <c r="BM22" s="378"/>
      <c r="BO22" s="392"/>
      <c r="BP22" s="158">
        <f t="shared" si="38"/>
        <v>40801</v>
      </c>
      <c r="BQ22" s="373">
        <f>IF($BA$32="d",'Profils de colonie'!I48,IF($BA$32="n",'Profils de colonie'!I76,IF($BA$32="p",'Profils de colonie'!I104,IF($BA$32="a",'Profils de colonie'!I132,IF($BA$32="b",'Profils de colonie'!I160,IF($BA$32="c",'Profils de colonie'!I188,IF($BA$32="r",'Profils de colonie'!I216,IF($BA$32="s",'Profils de colonie'!I244,IF($BA$32="f",'Profils de colonie'!I272,"erreur")))))))))</f>
        <v>16</v>
      </c>
      <c r="BR22">
        <f t="shared" si="4"/>
        <v>32000</v>
      </c>
      <c r="BS22" s="68">
        <f>IF($BA$32="d",'Profils de colonie'!G48,IF($BA$32="n",'Profils de colonie'!G76,IF($BA$32="p",'Profils de colonie'!G104,IF($BA$32="a",'Profils de colonie'!G132,IF($BA$32="b",'Profils de colonie'!G160,IF($BA$32="c",'Profils de colonie'!G188,IF($BA$32="r",'Profils de colonie'!G216,IF($BA$32="s",'Profils de colonie'!G244,IF($BA$32="f",'Profils de colonie'!G272,"erreur")))))))))</f>
        <v>4</v>
      </c>
      <c r="BT22" s="13">
        <f t="shared" si="5"/>
        <v>18000</v>
      </c>
      <c r="BU22" s="17">
        <f t="shared" si="6"/>
        <v>0.5625</v>
      </c>
      <c r="BV22">
        <f t="shared" si="39"/>
        <v>10800</v>
      </c>
      <c r="BW22" s="14">
        <f t="shared" si="40"/>
        <v>1613.2254870631184</v>
      </c>
      <c r="BX22" s="14">
        <f t="shared" si="7"/>
        <v>900</v>
      </c>
      <c r="BY22" s="89">
        <f t="shared" si="41"/>
        <v>7.8768207245178088</v>
      </c>
      <c r="BZ22" s="21">
        <f t="shared" si="8"/>
        <v>19.87682072451781</v>
      </c>
      <c r="CA22" s="26">
        <f t="shared" si="9"/>
        <v>0.39628172098980846</v>
      </c>
      <c r="CB22" s="103">
        <f t="shared" si="10"/>
        <v>0.60371827901019159</v>
      </c>
      <c r="CC22" s="22">
        <f t="shared" si="11"/>
        <v>1842.8127398089089</v>
      </c>
      <c r="CD22" s="5">
        <f t="shared" si="12"/>
        <v>10800</v>
      </c>
      <c r="CE22" s="67">
        <f>IF($BA$32="d",'Profils de colonie'!K48,IF($BA$32="n",'Profils de colonie'!K76,IF($BA$32="p",'Profils de colonie'!K104,IF($BA$32="a",'Profils de colonie'!K132,IF($BA$32="b",'Profils de colonie'!K160,IF($BA$32="c",'Profils de colonie'!K188,IF($BA$32="r",'Profils de colonie'!K216,IF($BA$32="s",'Profils de colonie'!K216,IF($BA$32="f",'Profils de colonie'!K272,"erreur")))))))))</f>
        <v>0.02</v>
      </c>
      <c r="CF22" s="87">
        <f t="shared" si="42"/>
        <v>1.2800000000000001E-2</v>
      </c>
      <c r="CG22" s="63">
        <f t="shared" si="43"/>
        <v>6.4000000000000001E-2</v>
      </c>
      <c r="CH22" s="84">
        <f t="shared" si="44"/>
        <v>3.8637969856652264E-2</v>
      </c>
      <c r="CI22" s="60">
        <f t="shared" si="13"/>
        <v>117.94001534777017</v>
      </c>
      <c r="CJ22" s="61">
        <f t="shared" si="45"/>
        <v>0.8531540462078282</v>
      </c>
      <c r="CK22" s="266">
        <f t="shared" si="14"/>
        <v>0.57393103076645269</v>
      </c>
      <c r="CL22" s="267">
        <f t="shared" si="46"/>
        <v>1.4865097032103123</v>
      </c>
      <c r="CM22" s="61">
        <f t="shared" si="15"/>
        <v>22.87682072451781</v>
      </c>
      <c r="CN22" s="265">
        <v>1</v>
      </c>
      <c r="CO22" s="71">
        <f t="shared" si="16"/>
        <v>4.2749999999999995</v>
      </c>
      <c r="CP22" s="65">
        <f t="shared" si="47"/>
        <v>9.8493837450082944E-2</v>
      </c>
      <c r="CQ22" s="85">
        <f t="shared" si="48"/>
        <v>0.56508030915353935</v>
      </c>
      <c r="CR22" s="59">
        <f t="shared" si="49"/>
        <v>10661.76</v>
      </c>
      <c r="CS22" s="59">
        <f t="shared" si="17"/>
        <v>1724.8727244611387</v>
      </c>
      <c r="CT22" s="62">
        <f t="shared" si="18"/>
        <v>0.16178123728738394</v>
      </c>
      <c r="CU22" s="263">
        <f t="shared" si="19"/>
        <v>0.14937273028362208</v>
      </c>
      <c r="CV22" s="265">
        <f t="shared" si="50"/>
        <v>1.0830635144493159</v>
      </c>
      <c r="CW22" s="64">
        <f t="shared" si="20"/>
        <v>0.93599999999999994</v>
      </c>
      <c r="CX22" s="62">
        <f t="shared" si="21"/>
        <v>19.87682072451781</v>
      </c>
      <c r="CY22" s="264">
        <v>1</v>
      </c>
      <c r="CZ22" s="70">
        <f t="shared" si="51"/>
        <v>2.2586249999999999</v>
      </c>
      <c r="DA22" s="66">
        <f t="shared" si="22"/>
        <v>6.518049768398862E-2</v>
      </c>
      <c r="DB22" s="91">
        <f t="shared" si="23"/>
        <v>4.0637817704512157E-2</v>
      </c>
      <c r="DC22" s="23">
        <f t="shared" si="24"/>
        <v>-5.0125418235442863E-3</v>
      </c>
      <c r="DD22" s="28">
        <f t="shared" si="25"/>
        <v>3.5625275880967873E-2</v>
      </c>
      <c r="DE22" s="28"/>
      <c r="DF22" s="270">
        <f t="shared" si="68"/>
        <v>3052.4382048365969</v>
      </c>
      <c r="DG22" s="178">
        <f t="shared" si="26"/>
        <v>2136.7067433856178</v>
      </c>
      <c r="DH22" s="178">
        <f t="shared" si="69"/>
        <v>1843.8198676403574</v>
      </c>
      <c r="DI22" s="116">
        <f t="shared" si="70"/>
        <v>1576.9749000526724</v>
      </c>
      <c r="DJ22" s="13">
        <f t="shared" si="53"/>
        <v>4629.4131048892696</v>
      </c>
      <c r="DK22" s="199">
        <f t="shared" si="54"/>
        <v>339.79506510565716</v>
      </c>
      <c r="DL22" s="107">
        <f t="shared" si="27"/>
        <v>4289.6180397836124</v>
      </c>
      <c r="DM22" s="182">
        <f>'Immigration de varroas'!E29</f>
        <v>0</v>
      </c>
      <c r="DN22" s="109">
        <f t="shared" si="55"/>
        <v>-380.55360516210436</v>
      </c>
      <c r="DO22" s="82">
        <f t="shared" si="63"/>
        <v>-380.55360516210436</v>
      </c>
      <c r="DP22" s="198">
        <f t="shared" si="28"/>
        <v>3909.0644346215081</v>
      </c>
      <c r="DQ22" s="278">
        <f>FB$33</f>
        <v>0</v>
      </c>
      <c r="DR22" s="107">
        <f t="shared" si="56"/>
        <v>0</v>
      </c>
      <c r="DS22" s="79">
        <f t="shared" si="29"/>
        <v>3909.0644346215081</v>
      </c>
      <c r="DT22" s="23">
        <f t="shared" si="30"/>
        <v>1.6264595352430109E-2</v>
      </c>
      <c r="DU22" s="158">
        <f t="shared" si="31"/>
        <v>40801</v>
      </c>
      <c r="DV22" s="74">
        <f t="shared" si="32"/>
        <v>1209.6254650276881</v>
      </c>
      <c r="DW22" s="23">
        <f t="shared" si="33"/>
        <v>3.7800795782115253E-2</v>
      </c>
      <c r="DX22" s="114">
        <f t="shared" si="34"/>
        <v>11.907250671366304</v>
      </c>
      <c r="DY22" s="179" t="str">
        <f t="shared" si="65"/>
        <v/>
      </c>
      <c r="DZ22" s="179" t="str">
        <f t="shared" si="66"/>
        <v/>
      </c>
      <c r="EA22" s="179"/>
      <c r="EB22">
        <f t="shared" si="67"/>
        <v>0</v>
      </c>
      <c r="EC22" s="13">
        <f t="shared" si="57"/>
        <v>10778.90625</v>
      </c>
      <c r="ED22" s="14">
        <f t="shared" si="58"/>
        <v>-6000</v>
      </c>
      <c r="EE22" s="13">
        <f t="shared" si="59"/>
        <v>16778.90625</v>
      </c>
      <c r="EF22" s="13">
        <f t="shared" si="64"/>
        <v>1103.2705479452054</v>
      </c>
      <c r="EG22" s="17">
        <f t="shared" si="60"/>
        <v>0.6</v>
      </c>
      <c r="EH22" s="197">
        <f t="shared" si="61"/>
        <v>380.55360516210436</v>
      </c>
      <c r="EJ22" s="13">
        <f t="shared" si="62"/>
        <v>1576.9749000526724</v>
      </c>
      <c r="EK22" s="131">
        <f>FB$58</f>
        <v>909.35348113318764</v>
      </c>
      <c r="EL22" s="31">
        <f>FA$60</f>
        <v>0.15414873745830374</v>
      </c>
      <c r="EP22" s="2">
        <v>40801</v>
      </c>
      <c r="EQ22" s="193">
        <v>43174</v>
      </c>
      <c r="ET22">
        <v>19.53</v>
      </c>
    </row>
    <row r="23" spans="3:164" ht="16" customHeight="1">
      <c r="C23" s="280" t="s">
        <v>116</v>
      </c>
      <c r="D23" s="285">
        <v>100</v>
      </c>
      <c r="E23" s="295">
        <f>IF('Modèle principal'!$BB6=0,"",'Modèle principal'!$BB6)</f>
        <v>92.660083310629844</v>
      </c>
      <c r="F23" s="295">
        <f>IF('Modèle principal'!$BB7=0,"",'Modèle principal'!$BB7)</f>
        <v>100.32108346182575</v>
      </c>
      <c r="G23" s="295">
        <f>IF('Modèle principal'!$BB8=0,"",'Modèle principal'!$BB8)</f>
        <v>124.42065763678137</v>
      </c>
      <c r="H23" s="295">
        <f>IF('Modèle principal'!$BB9=0,"",'Modèle principal'!$BB9)</f>
        <v>158.6749522648</v>
      </c>
      <c r="I23" s="295">
        <f>IF('Modèle principal'!$BB10=0,"",'Modèle principal'!$BB10)</f>
        <v>210.62746864578881</v>
      </c>
      <c r="J23" s="295">
        <f>BB11</f>
        <v>300.29874118793583</v>
      </c>
      <c r="K23" s="295">
        <f>'Modèle principal'!BB12</f>
        <v>475.28153417114964</v>
      </c>
      <c r="L23" s="295">
        <f>'Modèle principal'!BB13</f>
        <v>757.12463328523631</v>
      </c>
      <c r="M23" s="295">
        <f>'Modèle principal'!BB14</f>
        <v>1194.0933612985234</v>
      </c>
      <c r="N23" s="295">
        <f>'Modèle principal'!BB15</f>
        <v>1825.1496160378006</v>
      </c>
      <c r="O23" s="295">
        <f>'Modèle principal'!BB16</f>
        <v>2708.7749400694211</v>
      </c>
      <c r="P23" s="295">
        <f>'Modèle principal'!BB17</f>
        <v>3862.1691866233855</v>
      </c>
      <c r="Q23" s="295">
        <f>'Modèle principal'!BB18</f>
        <v>5378.3159131916264</v>
      </c>
      <c r="R23" s="295">
        <f>'Modèle principal'!BB19</f>
        <v>7230.7195926645572</v>
      </c>
      <c r="S23" s="295">
        <f>'Modèle principal'!BB20</f>
        <v>9590.6365557186346</v>
      </c>
      <c r="T23" s="295">
        <f>'Modèle principal'!BB21</f>
        <v>2460.1022854654038</v>
      </c>
      <c r="U23" s="295">
        <f>'Modèle principal'!BB22</f>
        <v>3052.4382048365969</v>
      </c>
      <c r="V23" s="295">
        <f>'Modèle principal'!BB23</f>
        <v>3909.0644346215081</v>
      </c>
      <c r="W23" s="295">
        <f>'Modèle principal'!BB24</f>
        <v>4537.2431951693252</v>
      </c>
      <c r="X23" s="295">
        <f>'Modèle principal'!BB25</f>
        <v>3398.9403589717499</v>
      </c>
      <c r="Y23" s="295">
        <f>'Modèle principal'!BB26</f>
        <v>2627.3572856939195</v>
      </c>
      <c r="Z23" s="295">
        <f>'Modèle principal'!BB27</f>
        <v>2328.2397431380459</v>
      </c>
      <c r="AA23" s="295" t="str">
        <f>'Modèle principal'!BB28</f>
        <v/>
      </c>
      <c r="AB23" s="296" t="str">
        <f>'Modèle principal'!BB29</f>
        <v/>
      </c>
      <c r="AC23" s="461"/>
      <c r="AD23" s="461"/>
      <c r="AF23" s="219"/>
      <c r="AG23" s="219"/>
      <c r="BA23" s="288">
        <f t="shared" si="35"/>
        <v>40817</v>
      </c>
      <c r="BB23" s="48">
        <f t="shared" si="0"/>
        <v>3909.0644346215081</v>
      </c>
      <c r="BC23" s="222">
        <f t="shared" si="36"/>
        <v>9.7986760471128406E-3</v>
      </c>
      <c r="BD23" s="173">
        <f t="shared" si="1"/>
        <v>0</v>
      </c>
      <c r="BE23" s="99">
        <f t="shared" si="37"/>
        <v>19.648780898481384</v>
      </c>
      <c r="BF23" s="4">
        <f t="shared" si="2"/>
        <v>0.31433182320341857</v>
      </c>
      <c r="BG23" s="3">
        <f t="shared" si="3"/>
        <v>0.47871108236240284</v>
      </c>
      <c r="BH23" s="401"/>
      <c r="BI23" s="378"/>
      <c r="BJ23" s="378"/>
      <c r="BK23" s="378"/>
      <c r="BL23" s="378"/>
      <c r="BM23" s="378"/>
      <c r="BO23" s="392"/>
      <c r="BP23" s="158">
        <f t="shared" si="38"/>
        <v>40817</v>
      </c>
      <c r="BQ23" s="373">
        <f>IF($BA$32="d",'Profils de colonie'!I49,IF($BA$32="n",'Profils de colonie'!I77,IF($BA$32="p",'Profils de colonie'!I105,IF($BA$32="a",'Profils de colonie'!I133,IF($BA$32="b",'Profils de colonie'!I161,IF($BA$32="c",'Profils de colonie'!I189,IF($BA$32="r",'Profils de colonie'!I217,IF($BA$32="s",'Profils de colonie'!I245,IF($BA$32="f",'Profils de colonie'!I273,"erreur")))))))))</f>
        <v>15</v>
      </c>
      <c r="BR23">
        <f t="shared" si="4"/>
        <v>30000</v>
      </c>
      <c r="BS23" s="68">
        <f>IF($BA$32="d",'Profils de colonie'!G49,IF($BA$32="n",'Profils de colonie'!G77,IF($BA$32="p",'Profils de colonie'!G105,IF($BA$32="a",'Profils de colonie'!G133,IF($BA$32="b",'Profils de colonie'!G161,IF($BA$32="c",'Profils de colonie'!G189,IF($BA$32="r",'Profils de colonie'!G217,IF($BA$32="s",'Profils de colonie'!G245,IF($BA$32="f",'Profils de colonie'!G273,"erreur")))))))))</f>
        <v>2</v>
      </c>
      <c r="BT23" s="13">
        <f t="shared" si="5"/>
        <v>9000</v>
      </c>
      <c r="BU23" s="17">
        <f t="shared" si="6"/>
        <v>0.3</v>
      </c>
      <c r="BV23">
        <f t="shared" si="39"/>
        <v>5400</v>
      </c>
      <c r="BW23" s="14">
        <f t="shared" si="40"/>
        <v>1697.3918452984603</v>
      </c>
      <c r="BX23" s="14">
        <f t="shared" si="7"/>
        <v>450</v>
      </c>
      <c r="BY23" s="89">
        <f t="shared" si="41"/>
        <v>11.019864021629679</v>
      </c>
      <c r="BZ23" s="21">
        <f t="shared" si="8"/>
        <v>23.019864021629679</v>
      </c>
      <c r="CA23" s="26">
        <f t="shared" si="9"/>
        <v>0.47871108236240284</v>
      </c>
      <c r="CB23" s="103">
        <f t="shared" si="10"/>
        <v>0.52128891763759722</v>
      </c>
      <c r="CC23" s="22">
        <f t="shared" si="11"/>
        <v>2037.7519680994719</v>
      </c>
      <c r="CD23" s="5">
        <f t="shared" si="12"/>
        <v>5400</v>
      </c>
      <c r="CE23" s="67">
        <f>IF($BA$32="d",'Profils de colonie'!K49,IF($BA$32="n",'Profils de colonie'!K77,IF($BA$32="p",'Profils de colonie'!K105,IF($BA$32="a",'Profils de colonie'!K133,IF($BA$32="b",'Profils de colonie'!K161,IF($BA$32="c",'Profils de colonie'!K189,IF($BA$32="r",'Profils de colonie'!K217,IF($BA$32="s",'Profils de colonie'!K217,IF($BA$32="f",'Profils de colonie'!K273,"erreur")))))))))</f>
        <v>0</v>
      </c>
      <c r="CF23" s="87">
        <f t="shared" si="42"/>
        <v>0</v>
      </c>
      <c r="CG23" s="63">
        <f t="shared" si="43"/>
        <v>0</v>
      </c>
      <c r="CH23" s="84">
        <f t="shared" si="44"/>
        <v>0</v>
      </c>
      <c r="CI23" s="60">
        <f t="shared" si="13"/>
        <v>0</v>
      </c>
      <c r="CJ23" s="61">
        <f t="shared" si="45"/>
        <v>0</v>
      </c>
      <c r="CK23" s="266">
        <f t="shared" si="14"/>
        <v>0</v>
      </c>
      <c r="CL23" s="267">
        <f t="shared" si="46"/>
        <v>0</v>
      </c>
      <c r="CM23" s="61">
        <f t="shared" si="15"/>
        <v>26.019864021629679</v>
      </c>
      <c r="CN23" s="265">
        <v>1</v>
      </c>
      <c r="CO23" s="71">
        <f t="shared" si="16"/>
        <v>4.2749999999999995</v>
      </c>
      <c r="CP23" s="65">
        <f t="shared" si="47"/>
        <v>9.8493837450082944E-2</v>
      </c>
      <c r="CQ23" s="85">
        <f t="shared" si="48"/>
        <v>0.52128891763759722</v>
      </c>
      <c r="CR23" s="59">
        <f t="shared" si="49"/>
        <v>5400</v>
      </c>
      <c r="CS23" s="59">
        <f t="shared" si="17"/>
        <v>2037.7519680994719</v>
      </c>
      <c r="CT23" s="62">
        <f t="shared" si="18"/>
        <v>0.37736147557397626</v>
      </c>
      <c r="CU23" s="263">
        <f t="shared" si="19"/>
        <v>0.31433182320341857</v>
      </c>
      <c r="CV23" s="265">
        <f t="shared" si="50"/>
        <v>1.2005156563931891</v>
      </c>
      <c r="CW23" s="64">
        <f t="shared" si="20"/>
        <v>1</v>
      </c>
      <c r="CX23" s="62">
        <f t="shared" si="21"/>
        <v>23.019864021629679</v>
      </c>
      <c r="CY23" s="264">
        <v>1</v>
      </c>
      <c r="CZ23" s="70">
        <f t="shared" si="51"/>
        <v>2.2586249999999999</v>
      </c>
      <c r="DA23" s="66">
        <f t="shared" si="22"/>
        <v>6.518049768398862E-2</v>
      </c>
      <c r="DB23" s="91">
        <f t="shared" si="23"/>
        <v>3.3977871088766341E-2</v>
      </c>
      <c r="DC23" s="23">
        <f t="shared" si="24"/>
        <v>-5.0125418235442863E-3</v>
      </c>
      <c r="DD23" s="28">
        <f t="shared" si="25"/>
        <v>2.8965329265222054E-2</v>
      </c>
      <c r="DE23" s="28"/>
      <c r="DF23" s="270">
        <f t="shared" si="68"/>
        <v>3909.0644346215081</v>
      </c>
      <c r="DG23" s="178">
        <f t="shared" si="26"/>
        <v>2736.3451042350557</v>
      </c>
      <c r="DH23" s="178">
        <f t="shared" si="69"/>
        <v>2314.5409611670116</v>
      </c>
      <c r="DI23" s="116">
        <f t="shared" si="70"/>
        <v>1565.936365628786</v>
      </c>
      <c r="DJ23" s="13">
        <f t="shared" si="53"/>
        <v>5475.0008002502946</v>
      </c>
      <c r="DK23" s="199">
        <f t="shared" si="54"/>
        <v>401.86049748072128</v>
      </c>
      <c r="DL23" s="107">
        <f t="shared" si="27"/>
        <v>5073.1403027695733</v>
      </c>
      <c r="DM23" s="182">
        <f>'Immigration de varroas'!E30</f>
        <v>0</v>
      </c>
      <c r="DN23" s="109">
        <f t="shared" si="55"/>
        <v>-535.89710760024821</v>
      </c>
      <c r="DO23" s="82">
        <f t="shared" si="63"/>
        <v>-535.89710760024821</v>
      </c>
      <c r="DP23" s="198">
        <f t="shared" si="28"/>
        <v>4537.2431951693252</v>
      </c>
      <c r="DQ23" s="278">
        <f>FC$33</f>
        <v>0</v>
      </c>
      <c r="DR23" s="107">
        <f t="shared" si="56"/>
        <v>0</v>
      </c>
      <c r="DS23" s="79">
        <f t="shared" si="29"/>
        <v>4537.2431951693252</v>
      </c>
      <c r="DT23" s="23">
        <f t="shared" si="30"/>
        <v>9.7986760471128406E-3</v>
      </c>
      <c r="DU23" s="158">
        <f t="shared" si="31"/>
        <v>40817</v>
      </c>
      <c r="DV23" s="74">
        <f t="shared" si="32"/>
        <v>1871.3124665220364</v>
      </c>
      <c r="DW23" s="23">
        <f t="shared" si="33"/>
        <v>6.2377082217401215E-2</v>
      </c>
      <c r="DX23" s="114">
        <f t="shared" si="34"/>
        <v>19.648780898481384</v>
      </c>
      <c r="DY23" s="179" t="str">
        <f>IF((BS23&lt;0.25),DY22,IF(DY22=100,100,IF(CU21&gt;$AI$53,100,"")))</f>
        <v/>
      </c>
      <c r="DZ23" s="179" t="str">
        <f t="shared" si="66"/>
        <v/>
      </c>
      <c r="EA23" s="179"/>
      <c r="EB23">
        <f t="shared" si="67"/>
        <v>0</v>
      </c>
      <c r="EC23" s="13">
        <f t="shared" si="57"/>
        <v>12318.75</v>
      </c>
      <c r="ED23" s="14">
        <f t="shared" si="58"/>
        <v>-2000</v>
      </c>
      <c r="EE23" s="13">
        <f t="shared" si="59"/>
        <v>14318.75</v>
      </c>
      <c r="EF23" s="13">
        <f t="shared" si="64"/>
        <v>941.50684931506851</v>
      </c>
      <c r="EG23" s="17">
        <f t="shared" si="60"/>
        <v>0.6</v>
      </c>
      <c r="EH23" s="197">
        <f t="shared" si="61"/>
        <v>535.89710760024821</v>
      </c>
      <c r="EJ23" s="13">
        <f t="shared" si="62"/>
        <v>1565.936365628786</v>
      </c>
      <c r="EK23" s="131">
        <f>FC$58</f>
        <v>1244.0519997500069</v>
      </c>
      <c r="EL23" s="31">
        <f>FB$60</f>
        <v>0.16681469207070701</v>
      </c>
      <c r="EP23" s="2">
        <v>40817</v>
      </c>
      <c r="EQ23" s="193">
        <v>43191</v>
      </c>
    </row>
    <row r="24" spans="3:164" ht="16" customHeight="1">
      <c r="C24" s="291" t="s">
        <v>117</v>
      </c>
      <c r="D24" s="292">
        <v>0</v>
      </c>
      <c r="E24" s="293">
        <f>'Modèle principal'!BD6</f>
        <v>0</v>
      </c>
      <c r="F24" s="293">
        <f>'Modèle principal'!BD7</f>
        <v>0</v>
      </c>
      <c r="G24" s="293">
        <f>'Modèle principal'!BD8</f>
        <v>0</v>
      </c>
      <c r="H24" s="293">
        <f>'Modèle principal'!BD9</f>
        <v>0</v>
      </c>
      <c r="I24" s="293">
        <f>'Modèle principal'!BD10</f>
        <v>0</v>
      </c>
      <c r="J24" s="293">
        <f>'Modèle principal'!BD11</f>
        <v>0</v>
      </c>
      <c r="K24" s="293">
        <f>'Modèle principal'!BD12</f>
        <v>0</v>
      </c>
      <c r="L24" s="293">
        <f>'Modèle principal'!BD13</f>
        <v>0</v>
      </c>
      <c r="M24" s="293">
        <f>'Modèle principal'!BD14</f>
        <v>0</v>
      </c>
      <c r="N24" s="293">
        <f>'Modèle principal'!BD15</f>
        <v>0</v>
      </c>
      <c r="O24" s="293">
        <f>'Modèle principal'!BD16</f>
        <v>0</v>
      </c>
      <c r="P24" s="293">
        <f>'Modèle principal'!BD17</f>
        <v>0</v>
      </c>
      <c r="Q24" s="293">
        <f>'Modèle principal'!BD18</f>
        <v>0</v>
      </c>
      <c r="R24" s="293">
        <f>'Modèle principal'!BD19</f>
        <v>0</v>
      </c>
      <c r="S24" s="293">
        <f>'Modèle principal'!BD20</f>
        <v>0</v>
      </c>
      <c r="T24" s="293">
        <f>'Modèle principal'!BD21</f>
        <v>0</v>
      </c>
      <c r="U24" s="293">
        <f>'Modèle principal'!BD22</f>
        <v>0</v>
      </c>
      <c r="V24" s="293">
        <f>'Modèle principal'!BD23</f>
        <v>0</v>
      </c>
      <c r="W24" s="293">
        <f>'Modèle principal'!BD24</f>
        <v>0</v>
      </c>
      <c r="X24" s="293">
        <f>'Modèle principal'!BD25</f>
        <v>0</v>
      </c>
      <c r="Y24" s="293">
        <f>'Modèle principal'!BD26</f>
        <v>0</v>
      </c>
      <c r="Z24" s="293">
        <f>'Modèle principal'!BD27</f>
        <v>0</v>
      </c>
      <c r="AA24" s="304">
        <f>SUM(E24:Z24)</f>
        <v>0</v>
      </c>
      <c r="AB24" s="305" t="s">
        <v>118</v>
      </c>
      <c r="AC24" s="461"/>
      <c r="AD24" s="461"/>
      <c r="AE24">
        <v>4</v>
      </c>
      <c r="AF24" s="219"/>
      <c r="AG24" s="219"/>
      <c r="BA24" s="288">
        <f t="shared" si="35"/>
        <v>40831</v>
      </c>
      <c r="BB24" s="48">
        <f t="shared" si="0"/>
        <v>4537.2431951693252</v>
      </c>
      <c r="BC24" s="222">
        <f t="shared" si="36"/>
        <v>-1.8993263208529568E-2</v>
      </c>
      <c r="BD24" s="173">
        <f t="shared" si="1"/>
        <v>0</v>
      </c>
      <c r="BE24" s="99">
        <f t="shared" si="37"/>
        <v>34.768917562042915</v>
      </c>
      <c r="BF24" s="4">
        <f t="shared" si="2"/>
        <v>0.75307087650758786</v>
      </c>
      <c r="BG24" s="3">
        <f t="shared" si="3"/>
        <v>0.58384800455480101</v>
      </c>
      <c r="BH24" s="400" t="s">
        <v>119</v>
      </c>
      <c r="BI24" s="417" t="s">
        <v>120</v>
      </c>
      <c r="BJ24" s="418"/>
      <c r="BK24" s="418"/>
      <c r="BL24" s="418"/>
      <c r="BM24" s="419"/>
      <c r="BO24" s="392"/>
      <c r="BP24" s="158">
        <f t="shared" si="38"/>
        <v>40831</v>
      </c>
      <c r="BQ24" s="373">
        <f>IF($BA$32="d",'Profils de colonie'!I50,IF($BA$32="n",'Profils de colonie'!I78,IF($BA$32="p",'Profils de colonie'!I106,IF($BA$32="a",'Profils de colonie'!I134,IF($BA$32="b",'Profils de colonie'!I162,IF($BA$32="c",'Profils de colonie'!I190,IF($BA$32="r",'Profils de colonie'!I218,IF($BA$32="s",'Profils de colonie'!I246,IF($BA$32="f",'Profils de colonie'!I274,"erreur")))))))))</f>
        <v>12</v>
      </c>
      <c r="BR24">
        <f t="shared" si="4"/>
        <v>24000</v>
      </c>
      <c r="BS24" s="68">
        <f>IF($BA$32="d",'Profils de colonie'!G50,IF($BA$32="n",'Profils de colonie'!G78,IF($BA$32="p",'Profils de colonie'!G106,IF($BA$32="a",'Profils de colonie'!G134,IF($BA$32="b",'Profils de colonie'!G162,IF($BA$32="c",'Profils de colonie'!G190,IF($BA$32="r",'Profils de colonie'!G218,IF($BA$32="s",'Profils de colonie'!G246,IF($BA$32="f",'Profils de colonie'!G274,"erreur")))))))))</f>
        <v>0.5</v>
      </c>
      <c r="BT24" s="13">
        <f t="shared" si="5"/>
        <v>2250</v>
      </c>
      <c r="BU24" s="17">
        <f t="shared" si="6"/>
        <v>9.375E-2</v>
      </c>
      <c r="BV24">
        <f t="shared" si="39"/>
        <v>1350</v>
      </c>
      <c r="BW24" s="14">
        <f t="shared" si="40"/>
        <v>1016.6456832852436</v>
      </c>
      <c r="BX24" s="14">
        <f t="shared" si="7"/>
        <v>112.5</v>
      </c>
      <c r="BY24" s="89">
        <f t="shared" si="41"/>
        <v>16.835618070658086</v>
      </c>
      <c r="BZ24" s="21">
        <f t="shared" si="8"/>
        <v>28.835618070658086</v>
      </c>
      <c r="CA24" s="26">
        <f t="shared" si="9"/>
        <v>0.58384800455480101</v>
      </c>
      <c r="CB24" s="103">
        <f t="shared" si="10"/>
        <v>0.41615199544519899</v>
      </c>
      <c r="CC24" s="22">
        <f t="shared" si="11"/>
        <v>1888.1828094898651</v>
      </c>
      <c r="CD24" s="5">
        <f t="shared" si="12"/>
        <v>1350</v>
      </c>
      <c r="CE24" s="67">
        <f>IF($BA$32="d",'Profils de colonie'!K50,IF($BA$32="n",'Profils de colonie'!K78,IF($BA$32="p",'Profils de colonie'!K106,IF($BA$32="a",'Profils de colonie'!K134,IF($BA$32="b",'Profils de colonie'!K162,IF($BA$32="c",'Profils de colonie'!K190,IF($BA$32="r",'Profils de colonie'!K218,IF($BA$32="s",'Profils de colonie'!K218,IF($BA$32="f",'Profils de colonie'!K274,"erreur")))))))))</f>
        <v>0</v>
      </c>
      <c r="CF24" s="87">
        <f t="shared" si="42"/>
        <v>0</v>
      </c>
      <c r="CG24" s="63">
        <f t="shared" si="43"/>
        <v>0</v>
      </c>
      <c r="CH24" s="84">
        <f t="shared" si="44"/>
        <v>0</v>
      </c>
      <c r="CI24" s="60">
        <f t="shared" si="13"/>
        <v>0</v>
      </c>
      <c r="CJ24" s="61">
        <f t="shared" si="45"/>
        <v>0</v>
      </c>
      <c r="CK24" s="266">
        <f t="shared" si="14"/>
        <v>0</v>
      </c>
      <c r="CL24" s="267">
        <f t="shared" si="46"/>
        <v>0</v>
      </c>
      <c r="CM24" s="61">
        <f t="shared" si="15"/>
        <v>31.835618070658086</v>
      </c>
      <c r="CN24" s="265">
        <v>1</v>
      </c>
      <c r="CO24" s="71">
        <f t="shared" si="16"/>
        <v>4.2749999999999995</v>
      </c>
      <c r="CP24" s="65">
        <f t="shared" si="47"/>
        <v>9.8493837450082944E-2</v>
      </c>
      <c r="CQ24" s="85">
        <f t="shared" si="48"/>
        <v>0.41615199544519899</v>
      </c>
      <c r="CR24" s="59">
        <f t="shared" si="49"/>
        <v>1350</v>
      </c>
      <c r="CS24" s="59">
        <f t="shared" si="17"/>
        <v>1888.1828094898651</v>
      </c>
      <c r="CT24" s="62">
        <f t="shared" si="18"/>
        <v>1.3986539329554557</v>
      </c>
      <c r="CU24" s="263">
        <f t="shared" si="19"/>
        <v>0.75307087650758786</v>
      </c>
      <c r="CV24" s="265">
        <f t="shared" si="50"/>
        <v>1.857264859553367</v>
      </c>
      <c r="CW24" s="64">
        <f t="shared" si="20"/>
        <v>1</v>
      </c>
      <c r="CX24" s="62">
        <f t="shared" si="21"/>
        <v>28.835618070658086</v>
      </c>
      <c r="CY24" s="264">
        <v>1</v>
      </c>
      <c r="CZ24" s="70">
        <f t="shared" si="51"/>
        <v>2.2586249999999999</v>
      </c>
      <c r="DA24" s="66">
        <f t="shared" si="22"/>
        <v>0</v>
      </c>
      <c r="DB24" s="91">
        <f t="shared" si="23"/>
        <v>0</v>
      </c>
      <c r="DC24" s="23">
        <f t="shared" si="24"/>
        <v>-5.0125418235442863E-3</v>
      </c>
      <c r="DD24" s="28">
        <f t="shared" si="25"/>
        <v>-5.0125418235442863E-3</v>
      </c>
      <c r="DE24" s="28"/>
      <c r="DF24" s="270">
        <f t="shared" si="68"/>
        <v>4537.2431951693252</v>
      </c>
      <c r="DG24" s="178">
        <f t="shared" si="26"/>
        <v>3176.0702366185274</v>
      </c>
      <c r="DH24" s="178">
        <f t="shared" si="69"/>
        <v>2646.2550581020701</v>
      </c>
      <c r="DI24" s="116">
        <f t="shared" si="70"/>
        <v>0</v>
      </c>
      <c r="DJ24" s="13">
        <f t="shared" si="53"/>
        <v>4537.2431951693252</v>
      </c>
      <c r="DK24" s="199">
        <f t="shared" si="54"/>
        <v>333.02987051954551</v>
      </c>
      <c r="DL24" s="107">
        <f t="shared" si="27"/>
        <v>4204.2133246497797</v>
      </c>
      <c r="DM24" s="182">
        <f>'Immigration de varroas'!E31</f>
        <v>0</v>
      </c>
      <c r="DN24" s="109">
        <f t="shared" si="55"/>
        <v>-805.27296567802966</v>
      </c>
      <c r="DO24" s="82">
        <f t="shared" si="63"/>
        <v>-805.27296567802966</v>
      </c>
      <c r="DP24" s="198">
        <f t="shared" si="28"/>
        <v>3398.9403589717499</v>
      </c>
      <c r="DQ24" s="278">
        <f>FD$33</f>
        <v>0</v>
      </c>
      <c r="DR24" s="107">
        <f t="shared" si="56"/>
        <v>0</v>
      </c>
      <c r="DS24" s="79">
        <f t="shared" si="29"/>
        <v>3398.9403589717499</v>
      </c>
      <c r="DT24" s="23">
        <f t="shared" si="30"/>
        <v>-1.8993263208529568E-2</v>
      </c>
      <c r="DU24" s="158">
        <f t="shared" si="31"/>
        <v>40831</v>
      </c>
      <c r="DV24" s="74">
        <f t="shared" si="32"/>
        <v>2649.0603856794601</v>
      </c>
      <c r="DW24" s="23">
        <f t="shared" si="33"/>
        <v>0.1103775160699775</v>
      </c>
      <c r="DX24" s="114">
        <f t="shared" si="34"/>
        <v>34.768917562042915</v>
      </c>
      <c r="DY24" s="179" t="str">
        <f t="shared" si="65"/>
        <v/>
      </c>
      <c r="DZ24" s="179" t="str">
        <f t="shared" si="66"/>
        <v/>
      </c>
      <c r="EA24" s="179">
        <f t="shared" ref="EA24:EA29" si="71">IF(DX$22&gt;60,100,0)</f>
        <v>0</v>
      </c>
      <c r="EB24">
        <f t="shared" si="67"/>
        <v>0</v>
      </c>
      <c r="EC24" s="13">
        <f t="shared" si="57"/>
        <v>6159.375</v>
      </c>
      <c r="ED24" s="14">
        <f t="shared" si="58"/>
        <v>-6000</v>
      </c>
      <c r="EE24" s="13">
        <f t="shared" si="59"/>
        <v>12159.375</v>
      </c>
      <c r="EF24" s="13">
        <f t="shared" si="64"/>
        <v>799.52054794520541</v>
      </c>
      <c r="EG24" s="17">
        <f t="shared" si="60"/>
        <v>0.6</v>
      </c>
      <c r="EH24" s="197">
        <f t="shared" si="61"/>
        <v>805.27296567802966</v>
      </c>
      <c r="EJ24" s="13">
        <f t="shared" si="62"/>
        <v>0</v>
      </c>
      <c r="EK24" s="131">
        <f>FD$58</f>
        <v>1669.9539081859582</v>
      </c>
      <c r="EL24" s="31">
        <f>FC$60</f>
        <v>0.1878558984973436</v>
      </c>
      <c r="EP24" s="2">
        <v>40831</v>
      </c>
      <c r="EQ24" s="193">
        <v>43205</v>
      </c>
      <c r="ET24">
        <v>25.83</v>
      </c>
    </row>
    <row r="25" spans="3:164" ht="16" customHeight="1">
      <c r="C25" s="153" t="s">
        <v>37</v>
      </c>
      <c r="D25" s="297" t="s">
        <v>121</v>
      </c>
      <c r="E25" s="297">
        <f>1-'Modèle principal'!BG6</f>
        <v>0.39637935950910275</v>
      </c>
      <c r="F25" s="297">
        <f>1-'Modèle principal'!BG7</f>
        <v>0.41542803120999716</v>
      </c>
      <c r="G25" s="297">
        <f>1-'Modèle principal'!BG8</f>
        <v>0.49765046718327932</v>
      </c>
      <c r="H25" s="297">
        <f>1-'Modèle principal'!BG9</f>
        <v>0.52921954133048477</v>
      </c>
      <c r="I25" s="297">
        <f>1-'Modèle principal'!BG10</f>
        <v>0.65081532324296698</v>
      </c>
      <c r="J25" s="297">
        <f>1-'Modèle principal'!BG11</f>
        <v>0.73121308739562751</v>
      </c>
      <c r="K25" s="297">
        <f>1-'Modèle principal'!BG12</f>
        <v>0.78455129248541799</v>
      </c>
      <c r="L25" s="297">
        <f>1-'Modèle principal'!BG13</f>
        <v>0.75112537656379341</v>
      </c>
      <c r="M25" s="297">
        <f>1-'Modèle principal'!BG14</f>
        <v>0.70066491185305146</v>
      </c>
      <c r="N25" s="297">
        <f>1-'Modèle principal'!BG15</f>
        <v>0.6689711582295691</v>
      </c>
      <c r="O25" s="297">
        <f>1-'Modèle principal'!BG16</f>
        <v>0.63020078776056976</v>
      </c>
      <c r="P25" s="297">
        <f>1-'Modèle principal'!BG17</f>
        <v>0.60371827901019159</v>
      </c>
      <c r="Q25" s="297">
        <f>1-'Modèle principal'!BG18</f>
        <v>0.57163167812269144</v>
      </c>
      <c r="R25" s="297">
        <f>1-'Modèle principal'!BG19</f>
        <v>0.55763789267006758</v>
      </c>
      <c r="S25" s="297">
        <f>1-'Modèle principal'!BG20</f>
        <v>0.55894312923756839</v>
      </c>
      <c r="T25" s="297">
        <f>1-'Modèle principal'!BG21</f>
        <v>0.56064996971063963</v>
      </c>
      <c r="U25" s="297">
        <f>1-'Modèle principal'!BG22</f>
        <v>0.60371827901019159</v>
      </c>
      <c r="V25" s="297">
        <f>1-'Modèle principal'!BG23</f>
        <v>0.52128891763759722</v>
      </c>
      <c r="W25" s="297">
        <f>1-'Modèle principal'!BG24</f>
        <v>0.41615199544519899</v>
      </c>
      <c r="X25" s="297">
        <f>1-'Modèle principal'!BG25</f>
        <v>0.38881579641825503</v>
      </c>
      <c r="Y25" s="297">
        <f>1-'Modèle principal'!BG26</f>
        <v>0.3524965389454171</v>
      </c>
      <c r="Z25" s="297">
        <f>1-'Modèle principal'!BG27</f>
        <v>0.34276566961337107</v>
      </c>
      <c r="AA25" s="297" t="e">
        <f>1-'Modèle principal'!BG28</f>
        <v>#VALUE!</v>
      </c>
      <c r="AB25" s="298" t="e">
        <f>1-'Modèle principal'!BG29</f>
        <v>#VALUE!</v>
      </c>
      <c r="AC25" s="461"/>
      <c r="AD25" s="461"/>
      <c r="AF25" s="219"/>
      <c r="AG25" s="219"/>
      <c r="AH25" s="445" t="s">
        <v>122</v>
      </c>
      <c r="AI25" s="445"/>
      <c r="AJ25" s="445"/>
      <c r="AK25" s="445"/>
      <c r="AL25" s="445"/>
      <c r="AM25" s="445"/>
      <c r="AN25" s="445"/>
      <c r="AO25" s="445"/>
      <c r="AP25" s="445"/>
      <c r="AQ25" s="445"/>
      <c r="AR25" s="445"/>
      <c r="AS25" s="445"/>
      <c r="AT25" s="445"/>
      <c r="AU25" s="445"/>
      <c r="AV25" s="445"/>
      <c r="AW25" s="446"/>
      <c r="AX25" s="447">
        <f>LN(BB22/BB12)/(BA22-BA12)</f>
        <v>1.2155481239808332E-2</v>
      </c>
      <c r="AY25" s="447"/>
      <c r="BA25" s="288">
        <f t="shared" si="35"/>
        <v>40848</v>
      </c>
      <c r="BB25" s="48">
        <f t="shared" si="0"/>
        <v>3398.9403589717499</v>
      </c>
      <c r="BC25" s="222">
        <f t="shared" si="36"/>
        <v>-1.6930534833012781E-2</v>
      </c>
      <c r="BD25" s="173">
        <f t="shared" si="1"/>
        <v>0</v>
      </c>
      <c r="BE25" s="99">
        <f t="shared" si="37"/>
        <v>36.354126485599984</v>
      </c>
      <c r="BF25" s="4">
        <f t="shared" si="2"/>
        <v>0.85884111642136318</v>
      </c>
      <c r="BG25" s="3">
        <f t="shared" si="3"/>
        <v>0.61118420358174497</v>
      </c>
      <c r="BH25" s="401"/>
      <c r="BI25" s="420"/>
      <c r="BJ25" s="421"/>
      <c r="BK25" s="421"/>
      <c r="BL25" s="421"/>
      <c r="BM25" s="422"/>
      <c r="BO25" s="392"/>
      <c r="BP25" s="158">
        <f t="shared" si="38"/>
        <v>40848</v>
      </c>
      <c r="BQ25" s="373">
        <f>IF($BA$32="d",'Profils de colonie'!I51,IF($BA$32="n",'Profils de colonie'!I79,IF($BA$32="p",'Profils de colonie'!I107,IF($BA$32="a",'Profils de colonie'!I135,IF($BA$32="b",'Profils de colonie'!I163,IF($BA$32="c",'Profils de colonie'!I191,IF($BA$32="r",'Profils de colonie'!I219,IF($BA$32="s",'Profils de colonie'!I247,IF($BA$32="f",'Profils de colonie'!I275,"erreur")))))))))</f>
        <v>9</v>
      </c>
      <c r="BR25">
        <f t="shared" si="4"/>
        <v>18000</v>
      </c>
      <c r="BS25" s="68">
        <f>IF($BA$32="d",'Profils de colonie'!G51,IF($BA$32="n",'Profils de colonie'!G79,IF($BA$32="p",'Profils de colonie'!G107,IF($BA$32="a",'Profils de colonie'!G135,IF($BA$32="b",'Profils de colonie'!G163,IF($BA$32="c",'Profils de colonie'!G191,IF($BA$32="r",'Profils de colonie'!G219,IF($BA$32="s",'Profils de colonie'!G247,IF($BA$32="f",'Profils de colonie'!G275,"erreur")))))))))</f>
        <v>0.25</v>
      </c>
      <c r="BT25" s="13">
        <f t="shared" si="5"/>
        <v>1125</v>
      </c>
      <c r="BU25" s="17">
        <f t="shared" si="6"/>
        <v>6.25E-2</v>
      </c>
      <c r="BV25">
        <f t="shared" si="39"/>
        <v>675</v>
      </c>
      <c r="BW25" s="14">
        <f t="shared" si="40"/>
        <v>579.71775358442017</v>
      </c>
      <c r="BX25" s="14">
        <f t="shared" si="7"/>
        <v>56.25</v>
      </c>
      <c r="BY25" s="89">
        <f t="shared" si="41"/>
        <v>18.862943611198908</v>
      </c>
      <c r="BZ25" s="21">
        <f t="shared" si="8"/>
        <v>30.862943611198908</v>
      </c>
      <c r="CA25" s="26">
        <f t="shared" si="9"/>
        <v>0.61118420358174497</v>
      </c>
      <c r="CB25" s="103">
        <f t="shared" si="10"/>
        <v>0.38881579641825503</v>
      </c>
      <c r="CC25" s="22">
        <f t="shared" si="11"/>
        <v>1321.5617026517507</v>
      </c>
      <c r="CD25" s="5">
        <f t="shared" si="12"/>
        <v>675</v>
      </c>
      <c r="CE25" s="67">
        <f>IF($BA$32="d",'Profils de colonie'!K51,IF($BA$32="n",'Profils de colonie'!K79,IF($BA$32="p",'Profils de colonie'!K107,IF($BA$32="a",'Profils de colonie'!K135,IF($BA$32="b",'Profils de colonie'!K163,IF($BA$32="c",'Profils de colonie'!K191,IF($BA$32="r",'Profils de colonie'!K219,IF($BA$32="s",'Profils de colonie'!K219,IF($BA$32="f",'Profils de colonie'!K275,"erreur")))))))))</f>
        <v>0</v>
      </c>
      <c r="CF25" s="87">
        <f t="shared" si="42"/>
        <v>0</v>
      </c>
      <c r="CG25" s="63">
        <f t="shared" si="43"/>
        <v>0</v>
      </c>
      <c r="CH25" s="84">
        <f t="shared" si="44"/>
        <v>0</v>
      </c>
      <c r="CI25" s="60">
        <f t="shared" si="13"/>
        <v>0</v>
      </c>
      <c r="CJ25" s="61">
        <f t="shared" si="45"/>
        <v>0</v>
      </c>
      <c r="CK25" s="266">
        <f t="shared" si="14"/>
        <v>0</v>
      </c>
      <c r="CL25" s="267">
        <f t="shared" si="46"/>
        <v>0</v>
      </c>
      <c r="CM25" s="61">
        <f t="shared" si="15"/>
        <v>33.862943611198908</v>
      </c>
      <c r="CN25" s="265">
        <v>1</v>
      </c>
      <c r="CO25" s="71">
        <f t="shared" si="16"/>
        <v>4.2749999999999995</v>
      </c>
      <c r="CP25" s="65">
        <f t="shared" si="47"/>
        <v>9.8493837450082944E-2</v>
      </c>
      <c r="CQ25" s="85">
        <f t="shared" si="48"/>
        <v>0.38881579641825503</v>
      </c>
      <c r="CR25" s="59">
        <f t="shared" si="49"/>
        <v>675</v>
      </c>
      <c r="CS25" s="59">
        <f t="shared" si="17"/>
        <v>1321.5617026517507</v>
      </c>
      <c r="CT25" s="62">
        <f t="shared" si="18"/>
        <v>1.9578691891137048</v>
      </c>
      <c r="CU25" s="263">
        <f t="shared" si="19"/>
        <v>0.85884111642136318</v>
      </c>
      <c r="CV25" s="265">
        <f t="shared" si="50"/>
        <v>2.2796613622906441</v>
      </c>
      <c r="CW25" s="64">
        <f t="shared" si="20"/>
        <v>1</v>
      </c>
      <c r="CX25" s="62">
        <f t="shared" si="21"/>
        <v>30.862943611198908</v>
      </c>
      <c r="CY25" s="264">
        <v>1</v>
      </c>
      <c r="CZ25" s="70">
        <f t="shared" si="51"/>
        <v>2.2586249999999999</v>
      </c>
      <c r="DA25" s="66">
        <f t="shared" si="22"/>
        <v>0</v>
      </c>
      <c r="DB25" s="91">
        <f t="shared" si="23"/>
        <v>0</v>
      </c>
      <c r="DC25" s="23">
        <f t="shared" si="24"/>
        <v>-5.0125418235442863E-3</v>
      </c>
      <c r="DD25" s="28">
        <f t="shared" si="25"/>
        <v>-5.0125418235442863E-3</v>
      </c>
      <c r="DE25" s="28"/>
      <c r="DF25" s="270">
        <f t="shared" si="68"/>
        <v>3398.9403589717499</v>
      </c>
      <c r="DG25" s="178">
        <f t="shared" si="26"/>
        <v>2379.2582512802246</v>
      </c>
      <c r="DH25" s="178">
        <f t="shared" si="69"/>
        <v>1932.3005547287594</v>
      </c>
      <c r="DI25" s="116">
        <f t="shared" si="70"/>
        <v>0</v>
      </c>
      <c r="DJ25" s="13">
        <f t="shared" si="53"/>
        <v>3398.9403589717499</v>
      </c>
      <c r="DK25" s="199">
        <f t="shared" si="54"/>
        <v>249.47939066990557</v>
      </c>
      <c r="DL25" s="107">
        <f t="shared" si="27"/>
        <v>3149.4609683018443</v>
      </c>
      <c r="DM25" s="182">
        <f>'Immigration de varroas'!E32</f>
        <v>0</v>
      </c>
      <c r="DN25" s="109">
        <f t="shared" si="55"/>
        <v>-522.10368260792484</v>
      </c>
      <c r="DO25" s="82">
        <f t="shared" si="63"/>
        <v>-522.10368260792484</v>
      </c>
      <c r="DP25" s="198">
        <f t="shared" si="28"/>
        <v>2627.3572856939195</v>
      </c>
      <c r="DQ25" s="278">
        <f>FE$33</f>
        <v>0</v>
      </c>
      <c r="DR25" s="107">
        <f t="shared" si="56"/>
        <v>0</v>
      </c>
      <c r="DS25" s="79">
        <f t="shared" si="29"/>
        <v>2627.3572856939195</v>
      </c>
      <c r="DT25" s="23">
        <f t="shared" si="30"/>
        <v>-1.6930534833012781E-2</v>
      </c>
      <c r="DU25" s="158">
        <f t="shared" si="31"/>
        <v>40848</v>
      </c>
      <c r="DV25" s="74">
        <f t="shared" si="32"/>
        <v>2077.3786563199992</v>
      </c>
      <c r="DW25" s="23">
        <f t="shared" si="33"/>
        <v>0.11540992535111107</v>
      </c>
      <c r="DX25" s="114">
        <f t="shared" si="34"/>
        <v>36.354126485599984</v>
      </c>
      <c r="DY25" s="179" t="str">
        <f t="shared" si="65"/>
        <v/>
      </c>
      <c r="DZ25" s="179" t="str">
        <f t="shared" si="66"/>
        <v/>
      </c>
      <c r="EA25" s="179">
        <f t="shared" si="71"/>
        <v>0</v>
      </c>
      <c r="EB25">
        <f t="shared" si="67"/>
        <v>0</v>
      </c>
      <c r="EC25" s="13">
        <f t="shared" si="57"/>
        <v>1539.84375</v>
      </c>
      <c r="ED25" s="14">
        <f t="shared" si="58"/>
        <v>-6000</v>
      </c>
      <c r="EE25" s="13">
        <f t="shared" si="59"/>
        <v>7539.84375</v>
      </c>
      <c r="EF25" s="13">
        <f t="shared" si="64"/>
        <v>495.77054794520546</v>
      </c>
      <c r="EG25" s="17">
        <f t="shared" si="60"/>
        <v>0.6</v>
      </c>
      <c r="EH25" s="197">
        <f t="shared" si="61"/>
        <v>522.10368260792484</v>
      </c>
      <c r="EJ25" s="13">
        <f t="shared" si="62"/>
        <v>0</v>
      </c>
      <c r="EK25" s="131">
        <f>FE$58</f>
        <v>2224.7176123319932</v>
      </c>
      <c r="EL25" s="31">
        <f>FD$60</f>
        <v>0.27185953873166702</v>
      </c>
      <c r="EP25" s="2">
        <v>40848</v>
      </c>
      <c r="EQ25" s="193">
        <v>43221</v>
      </c>
    </row>
    <row r="26" spans="3:164" ht="16.19" customHeight="1">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s="289"/>
      <c r="AB26" s="289"/>
      <c r="AC26" s="289"/>
      <c r="AD26" s="289"/>
      <c r="AF26" s="219"/>
      <c r="AG26" s="219"/>
      <c r="AH26" s="448" t="s">
        <v>123</v>
      </c>
      <c r="AI26" s="448"/>
      <c r="AJ26" s="448"/>
      <c r="AK26" s="448"/>
      <c r="AL26" s="448"/>
      <c r="AM26" s="448"/>
      <c r="AN26" s="448"/>
      <c r="AO26" s="448"/>
      <c r="AP26" s="448"/>
      <c r="AQ26" s="448"/>
      <c r="AR26" s="448"/>
      <c r="AS26" s="448"/>
      <c r="AT26" s="448"/>
      <c r="AU26" s="448"/>
      <c r="AV26" s="448"/>
      <c r="AW26" s="449"/>
      <c r="AX26" s="450" t="s">
        <v>124</v>
      </c>
      <c r="AY26" s="451"/>
      <c r="BA26" s="288">
        <f t="shared" si="35"/>
        <v>40862</v>
      </c>
      <c r="BB26" s="48">
        <f t="shared" si="0"/>
        <v>2627.3572856939195</v>
      </c>
      <c r="BC26" s="222">
        <f t="shared" si="36"/>
        <v>-7.9473534018946572E-3</v>
      </c>
      <c r="BD26" s="173">
        <f t="shared" si="1"/>
        <v>0</v>
      </c>
      <c r="BE26" s="99">
        <f t="shared" si="37"/>
        <v>31.522660283108419</v>
      </c>
      <c r="BF26" s="4">
        <f t="shared" si="2"/>
        <v>0.93569396383632786</v>
      </c>
      <c r="BG26" s="3">
        <f t="shared" si="3"/>
        <v>0.6475034610545829</v>
      </c>
      <c r="BH26" s="381" t="s">
        <v>125</v>
      </c>
      <c r="BI26" s="423" t="s">
        <v>126</v>
      </c>
      <c r="BJ26" s="424"/>
      <c r="BK26" s="424"/>
      <c r="BL26" s="424"/>
      <c r="BM26" s="425"/>
      <c r="BO26" s="392"/>
      <c r="BP26" s="158">
        <f t="shared" si="38"/>
        <v>40862</v>
      </c>
      <c r="BQ26" s="373">
        <f>IF($BA$32="d",'Profils de colonie'!I52,IF($BA$32="n",'Profils de colonie'!I80,IF($BA$32="p",'Profils de colonie'!I108,IF($BA$32="a",'Profils de colonie'!I136,IF($BA$32="b",'Profils de colonie'!I164,IF($BA$32="c",'Profils de colonie'!I192,IF($BA$32="r",'Profils de colonie'!I220,IF($BA$32="s",'Profils de colonie'!I248,IF($BA$32="f",'Profils de colonie'!I276,"erreur")))))))))</f>
        <v>8.5</v>
      </c>
      <c r="BR26">
        <f t="shared" si="4"/>
        <v>17000</v>
      </c>
      <c r="BS26" s="68">
        <f>IF($BA$32="d",'Profils de colonie'!G52,IF($BA$32="n",'Profils de colonie'!G80,IF($BA$32="p",'Profils de colonie'!G108,IF($BA$32="a",'Profils de colonie'!G136,IF($BA$32="b",'Profils de colonie'!G164,IF($BA$32="c",'Profils de colonie'!G192,IF($BA$32="r",'Profils de colonie'!G220,IF($BA$32="s",'Profils de colonie'!G248,IF($BA$32="f",'Profils de colonie'!G276,"erreur")))))))))</f>
        <v>0.125</v>
      </c>
      <c r="BT26" s="13">
        <f t="shared" si="5"/>
        <v>562.5</v>
      </c>
      <c r="BU26" s="17">
        <f t="shared" si="6"/>
        <v>3.3088235294117647E-2</v>
      </c>
      <c r="BV26">
        <f t="shared" si="39"/>
        <v>337.5</v>
      </c>
      <c r="BW26" s="14">
        <f t="shared" si="40"/>
        <v>315.79671279476065</v>
      </c>
      <c r="BX26" s="14">
        <f t="shared" si="7"/>
        <v>28.125</v>
      </c>
      <c r="BY26" s="89">
        <f t="shared" si="41"/>
        <v>22.04288744479889</v>
      </c>
      <c r="BZ26" s="21">
        <f t="shared" si="8"/>
        <v>34.042887444798893</v>
      </c>
      <c r="CA26" s="26">
        <f t="shared" si="9"/>
        <v>0.6475034610545829</v>
      </c>
      <c r="CB26" s="103">
        <f t="shared" si="10"/>
        <v>0.3524965389454171</v>
      </c>
      <c r="CC26" s="22">
        <f t="shared" si="11"/>
        <v>926.13434978013208</v>
      </c>
      <c r="CD26" s="5">
        <f t="shared" si="12"/>
        <v>337.5</v>
      </c>
      <c r="CE26" s="67">
        <f>IF($BA$32="d",'Profils de colonie'!K52,IF($BA$32="n",'Profils de colonie'!K80,IF($BA$32="p",'Profils de colonie'!K108,IF($BA$32="a",'Profils de colonie'!K136,IF($BA$32="b",'Profils de colonie'!K164,IF($BA$32="c",'Profils de colonie'!K192,IF($BA$32="r",'Profils de colonie'!K220,IF($BA$32="s",'Profils de colonie'!K220,IF($BA$32="f",'Profils de colonie'!K276,"erreur")))))))))</f>
        <v>0</v>
      </c>
      <c r="CF26" s="87">
        <f t="shared" si="42"/>
        <v>0</v>
      </c>
      <c r="CG26" s="63">
        <f t="shared" si="43"/>
        <v>0</v>
      </c>
      <c r="CH26" s="84">
        <f t="shared" si="44"/>
        <v>0</v>
      </c>
      <c r="CI26" s="60">
        <f t="shared" si="13"/>
        <v>0</v>
      </c>
      <c r="CJ26" s="61">
        <f t="shared" si="45"/>
        <v>0</v>
      </c>
      <c r="CK26" s="266">
        <f t="shared" si="14"/>
        <v>0</v>
      </c>
      <c r="CL26" s="267">
        <f t="shared" si="46"/>
        <v>0</v>
      </c>
      <c r="CM26" s="61">
        <f t="shared" si="15"/>
        <v>37.042887444798893</v>
      </c>
      <c r="CN26" s="265">
        <v>1</v>
      </c>
      <c r="CO26" s="71">
        <f t="shared" si="16"/>
        <v>4.2749999999999995</v>
      </c>
      <c r="CP26" s="65">
        <f t="shared" si="47"/>
        <v>9.8493837450082944E-2</v>
      </c>
      <c r="CQ26" s="85">
        <f t="shared" si="48"/>
        <v>0.3524965389454171</v>
      </c>
      <c r="CR26" s="59">
        <f t="shared" si="49"/>
        <v>337.5</v>
      </c>
      <c r="CS26" s="59">
        <f t="shared" si="17"/>
        <v>926.13434978013208</v>
      </c>
      <c r="CT26" s="62">
        <f t="shared" si="18"/>
        <v>2.7441017771263172</v>
      </c>
      <c r="CU26" s="263">
        <f t="shared" si="19"/>
        <v>0.93569396383632786</v>
      </c>
      <c r="CV26" s="265">
        <f t="shared" si="50"/>
        <v>2.9326884114835488</v>
      </c>
      <c r="CW26" s="64">
        <f t="shared" si="20"/>
        <v>1</v>
      </c>
      <c r="CX26" s="62">
        <f t="shared" si="21"/>
        <v>34.042887444798893</v>
      </c>
      <c r="CY26" s="264">
        <v>1</v>
      </c>
      <c r="CZ26" s="70">
        <f t="shared" si="51"/>
        <v>2.2586249999999999</v>
      </c>
      <c r="DA26" s="66">
        <f t="shared" si="22"/>
        <v>0</v>
      </c>
      <c r="DB26" s="91">
        <f t="shared" si="23"/>
        <v>0</v>
      </c>
      <c r="DC26" s="23">
        <f t="shared" si="24"/>
        <v>-5.0125418235442863E-3</v>
      </c>
      <c r="DD26" s="28">
        <f t="shared" si="25"/>
        <v>-5.0125418235442863E-3</v>
      </c>
      <c r="DE26" s="28"/>
      <c r="DF26" s="270">
        <f t="shared" si="68"/>
        <v>2627.3572856939195</v>
      </c>
      <c r="DG26" s="178">
        <f t="shared" si="26"/>
        <v>1839.1500999857435</v>
      </c>
      <c r="DH26" s="178">
        <f t="shared" si="69"/>
        <v>1339.1596021453199</v>
      </c>
      <c r="DI26" s="116">
        <f t="shared" si="70"/>
        <v>0</v>
      </c>
      <c r="DJ26" s="13">
        <f t="shared" si="53"/>
        <v>2627.3572856939195</v>
      </c>
      <c r="DK26" s="199">
        <f t="shared" si="54"/>
        <v>192.84583590203101</v>
      </c>
      <c r="DL26" s="107">
        <f t="shared" si="27"/>
        <v>2434.5114497918885</v>
      </c>
      <c r="DM26" s="182">
        <f>'Immigration de varroas'!E33</f>
        <v>0</v>
      </c>
      <c r="DN26" s="109">
        <f t="shared" si="55"/>
        <v>-106.27170665384244</v>
      </c>
      <c r="DO26" s="82">
        <f t="shared" si="63"/>
        <v>-106.27170665384244</v>
      </c>
      <c r="DP26" s="198">
        <f t="shared" si="28"/>
        <v>2328.2397431380459</v>
      </c>
      <c r="DQ26" s="278">
        <f>FF$33</f>
        <v>0</v>
      </c>
      <c r="DR26" s="107">
        <f t="shared" si="56"/>
        <v>0</v>
      </c>
      <c r="DS26" s="79">
        <f t="shared" si="29"/>
        <v>2328.2397431380459</v>
      </c>
      <c r="DT26" s="23">
        <f t="shared" si="30"/>
        <v>-7.9473534018946572E-3</v>
      </c>
      <c r="DU26" s="158">
        <f t="shared" si="31"/>
        <v>40862</v>
      </c>
      <c r="DV26" s="74">
        <f t="shared" si="32"/>
        <v>1701.2229359137875</v>
      </c>
      <c r="DW26" s="23">
        <f t="shared" si="33"/>
        <v>0.10007193740669339</v>
      </c>
      <c r="DX26" s="114">
        <f t="shared" si="34"/>
        <v>31.522660283108419</v>
      </c>
      <c r="DY26" s="179" t="str">
        <f t="shared" si="65"/>
        <v/>
      </c>
      <c r="DZ26" s="179" t="str">
        <f t="shared" si="66"/>
        <v/>
      </c>
      <c r="EA26" s="179">
        <f t="shared" si="71"/>
        <v>0</v>
      </c>
      <c r="EB26">
        <f t="shared" si="67"/>
        <v>0</v>
      </c>
      <c r="EC26" s="13">
        <f t="shared" si="57"/>
        <v>769.921875</v>
      </c>
      <c r="ED26" s="14">
        <f t="shared" si="58"/>
        <v>-1000</v>
      </c>
      <c r="EE26" s="13">
        <f t="shared" si="59"/>
        <v>1769.921875</v>
      </c>
      <c r="EF26" s="13">
        <f t="shared" si="64"/>
        <v>116.37842465753424</v>
      </c>
      <c r="EG26" s="17">
        <f t="shared" si="60"/>
        <v>0.6</v>
      </c>
      <c r="EH26" s="197">
        <f t="shared" si="61"/>
        <v>106.27170665384244</v>
      </c>
      <c r="EJ26" s="13">
        <f t="shared" si="62"/>
        <v>0</v>
      </c>
      <c r="EK26" s="131">
        <f>FF$58</f>
        <v>2867.9963002121676</v>
      </c>
      <c r="EL26" s="31">
        <f>FE$60</f>
        <v>0.39045300805248567</v>
      </c>
      <c r="EP26" s="2">
        <v>40862</v>
      </c>
      <c r="EQ26" s="193">
        <v>43235</v>
      </c>
      <c r="ET26">
        <v>17.954999999999998</v>
      </c>
    </row>
    <row r="27" spans="3:164" ht="16.19" customHeight="1">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G27" s="299"/>
      <c r="AH27" s="6"/>
      <c r="AV27" s="374"/>
      <c r="BA27" s="288">
        <f t="shared" si="35"/>
        <v>40878</v>
      </c>
      <c r="BB27" s="48">
        <f t="shared" si="0"/>
        <v>2328.2397431380459</v>
      </c>
      <c r="BC27" s="222">
        <f t="shared" si="36"/>
        <v>-6.530785961764483E-3</v>
      </c>
      <c r="BD27" s="173">
        <f t="shared" si="1"/>
        <v>0</v>
      </c>
      <c r="BE27" s="99">
        <f t="shared" si="37"/>
        <v>29.212891690707526</v>
      </c>
      <c r="BF27" s="4">
        <f t="shared" si="2"/>
        <v>0.94795810064718922</v>
      </c>
      <c r="BG27" s="3">
        <f t="shared" si="3"/>
        <v>0.65723433038662893</v>
      </c>
      <c r="BH27" s="380"/>
      <c r="BI27" s="426"/>
      <c r="BJ27" s="427"/>
      <c r="BK27" s="427"/>
      <c r="BL27" s="427"/>
      <c r="BM27" s="428"/>
      <c r="BO27" s="392"/>
      <c r="BP27" s="158">
        <f t="shared" si="38"/>
        <v>40878</v>
      </c>
      <c r="BQ27" s="373">
        <f>IF($BA$32="d",'Profils de colonie'!I53,IF($BA$32="n",'Profils de colonie'!I81,IF($BA$32="p",'Profils de colonie'!I109,IF($BA$32="a",'Profils de colonie'!I137,IF($BA$32="b",'Profils de colonie'!I165,IF($BA$32="c",'Profils de colonie'!I193,IF($BA$32="r",'Profils de colonie'!I221,IF($BA$32="s",'Profils de colonie'!I249,IF($BA$32="f",'Profils de colonie'!I277,"erreur")))))))))</f>
        <v>8.25</v>
      </c>
      <c r="BR27">
        <f t="shared" si="4"/>
        <v>16500</v>
      </c>
      <c r="BS27" s="68">
        <f>IF($BA$32="d",'Profils de colonie'!G53,IF($BA$32="n",'Profils de colonie'!G81,IF($BA$32="p",'Profils de colonie'!G109,IF($BA$32="a",'Profils de colonie'!G137,IF($BA$32="b",'Profils de colonie'!G165,IF($BA$32="c",'Profils de colonie'!G193,IF($BA$32="r",'Profils de colonie'!G221,IF($BA$32="s",'Profils de colonie'!G249,IF($BA$32="f",'Profils de colonie'!G277,"erreur")))))))))</f>
        <v>0.1</v>
      </c>
      <c r="BT27" s="13">
        <f t="shared" si="5"/>
        <v>450</v>
      </c>
      <c r="BU27" s="17">
        <f t="shared" si="6"/>
        <v>2.7272727272727271E-2</v>
      </c>
      <c r="BV27">
        <f t="shared" si="39"/>
        <v>270</v>
      </c>
      <c r="BW27" s="14">
        <f t="shared" si="40"/>
        <v>255.94868717474108</v>
      </c>
      <c r="BX27" s="14">
        <f t="shared" si="7"/>
        <v>22.5</v>
      </c>
      <c r="BY27" s="89">
        <f t="shared" si="41"/>
        <v>23.009340385621535</v>
      </c>
      <c r="BZ27" s="21">
        <f t="shared" si="8"/>
        <v>35.009340385621535</v>
      </c>
      <c r="CA27" s="26">
        <f t="shared" si="9"/>
        <v>0.65723433038662893</v>
      </c>
      <c r="CB27" s="103">
        <f t="shared" si="10"/>
        <v>0.34276566961337107</v>
      </c>
      <c r="CC27" s="22">
        <f t="shared" si="11"/>
        <v>798.04065457717536</v>
      </c>
      <c r="CD27" s="5">
        <f t="shared" si="12"/>
        <v>270</v>
      </c>
      <c r="CE27" s="67">
        <f>IF($BA$32="d",'Profils de colonie'!K53,IF($BA$32="n",'Profils de colonie'!K81,IF($BA$32="p",'Profils de colonie'!K109,IF($BA$32="a",'Profils de colonie'!K137,IF($BA$32="b",'Profils de colonie'!K165,IF($BA$32="c",'Profils de colonie'!K193,IF($BA$32="r",'Profils de colonie'!K221,IF($BA$32="s",'Profils de colonie'!K221,IF($BA$32="f",'Profils de colonie'!K277,"erreur")))))))))</f>
        <v>0</v>
      </c>
      <c r="CF27" s="87">
        <f t="shared" si="42"/>
        <v>0</v>
      </c>
      <c r="CG27" s="63">
        <f t="shared" si="43"/>
        <v>0</v>
      </c>
      <c r="CH27" s="84">
        <f t="shared" si="44"/>
        <v>0</v>
      </c>
      <c r="CI27" s="60">
        <f t="shared" si="13"/>
        <v>0</v>
      </c>
      <c r="CJ27" s="61">
        <f t="shared" si="45"/>
        <v>0</v>
      </c>
      <c r="CK27" s="266">
        <f t="shared" si="14"/>
        <v>0</v>
      </c>
      <c r="CL27" s="267">
        <f t="shared" si="46"/>
        <v>0</v>
      </c>
      <c r="CM27" s="61">
        <f t="shared" si="15"/>
        <v>38.009340385621535</v>
      </c>
      <c r="CN27" s="265">
        <v>1</v>
      </c>
      <c r="CO27" s="71">
        <f t="shared" si="16"/>
        <v>4.2749999999999995</v>
      </c>
      <c r="CP27" s="65">
        <f t="shared" si="47"/>
        <v>9.8493837450082944E-2</v>
      </c>
      <c r="CQ27" s="85">
        <f t="shared" si="48"/>
        <v>0.34276566961337107</v>
      </c>
      <c r="CR27" s="59">
        <f t="shared" si="49"/>
        <v>270</v>
      </c>
      <c r="CS27" s="59">
        <f t="shared" si="17"/>
        <v>798.04065457717536</v>
      </c>
      <c r="CT27" s="62">
        <f t="shared" si="18"/>
        <v>2.9557061280636123</v>
      </c>
      <c r="CU27" s="263">
        <f t="shared" si="19"/>
        <v>0.94795810064718922</v>
      </c>
      <c r="CV27" s="265">
        <f t="shared" si="50"/>
        <v>3.1179679862197611</v>
      </c>
      <c r="CW27" s="64">
        <f t="shared" si="20"/>
        <v>1</v>
      </c>
      <c r="CX27" s="62">
        <f t="shared" si="21"/>
        <v>35.009340385621535</v>
      </c>
      <c r="CY27" s="264">
        <v>1</v>
      </c>
      <c r="CZ27" s="70">
        <f t="shared" si="51"/>
        <v>2.2586249999999999</v>
      </c>
      <c r="DA27" s="66">
        <f t="shared" si="22"/>
        <v>0</v>
      </c>
      <c r="DB27" s="91">
        <f t="shared" si="23"/>
        <v>0</v>
      </c>
      <c r="DC27" s="23">
        <f t="shared" si="24"/>
        <v>-5.0125418235442863E-3</v>
      </c>
      <c r="DD27" s="28">
        <f t="shared" si="25"/>
        <v>-5.0125418235442863E-3</v>
      </c>
      <c r="DE27" s="28"/>
      <c r="DF27" s="270">
        <f t="shared" si="68"/>
        <v>2328.2397431380459</v>
      </c>
      <c r="DG27" s="178">
        <f t="shared" si="26"/>
        <v>1629.7678201966321</v>
      </c>
      <c r="DH27" s="178">
        <f t="shared" si="69"/>
        <v>993.42007237371445</v>
      </c>
      <c r="DI27" s="116">
        <f t="shared" si="70"/>
        <v>0</v>
      </c>
      <c r="DJ27" s="13">
        <f t="shared" si="53"/>
        <v>2328.2397431380459</v>
      </c>
      <c r="DK27" s="199">
        <f t="shared" si="54"/>
        <v>170.89085747513855</v>
      </c>
      <c r="DL27" s="107">
        <f t="shared" si="27"/>
        <v>2157.3488856629074</v>
      </c>
      <c r="DM27" s="182">
        <f>'Immigration de varroas'!E34</f>
        <v>0</v>
      </c>
      <c r="DN27" s="109">
        <f t="shared" si="55"/>
        <v>-49.242415271799032</v>
      </c>
      <c r="DO27" s="82">
        <f t="shared" si="63"/>
        <v>-49.242415271799032</v>
      </c>
      <c r="DP27" s="198">
        <f t="shared" si="28"/>
        <v>2108.1064703911084</v>
      </c>
      <c r="DQ27" s="278">
        <f>FG$33</f>
        <v>0</v>
      </c>
      <c r="DR27" s="107">
        <f t="shared" si="56"/>
        <v>0</v>
      </c>
      <c r="DS27" s="79">
        <f t="shared" si="29"/>
        <v>2108.1064703911084</v>
      </c>
      <c r="DT27" s="23">
        <f t="shared" si="30"/>
        <v>-6.530785961764483E-3</v>
      </c>
      <c r="DU27" s="158">
        <f t="shared" si="31"/>
        <v>40878</v>
      </c>
      <c r="DV27" s="74">
        <f t="shared" si="32"/>
        <v>1530.1990885608705</v>
      </c>
      <c r="DW27" s="23">
        <f t="shared" si="33"/>
        <v>9.2739338700658813E-2</v>
      </c>
      <c r="DX27" s="114">
        <f t="shared" si="34"/>
        <v>29.212891690707526</v>
      </c>
      <c r="DY27" s="179" t="str">
        <f t="shared" si="65"/>
        <v/>
      </c>
      <c r="DZ27" s="179" t="str">
        <f t="shared" si="66"/>
        <v/>
      </c>
      <c r="EA27" s="179">
        <f t="shared" si="71"/>
        <v>0</v>
      </c>
      <c r="EB27">
        <f t="shared" si="67"/>
        <v>0</v>
      </c>
      <c r="EC27" s="13">
        <f t="shared" si="57"/>
        <v>384.9609375</v>
      </c>
      <c r="ED27" s="14">
        <f t="shared" si="58"/>
        <v>-500</v>
      </c>
      <c r="EE27" s="13">
        <f t="shared" si="59"/>
        <v>884.9609375</v>
      </c>
      <c r="EF27" s="13">
        <f t="shared" si="64"/>
        <v>58.18921232876712</v>
      </c>
      <c r="EG27" s="17">
        <f t="shared" si="60"/>
        <v>0.6</v>
      </c>
      <c r="EH27" s="197">
        <f t="shared" si="61"/>
        <v>49.242415271799032</v>
      </c>
      <c r="EJ27" s="13">
        <f t="shared" si="62"/>
        <v>0</v>
      </c>
      <c r="EK27" s="131">
        <f>FG$58</f>
        <v>3743.0832940133223</v>
      </c>
      <c r="EL27" s="31">
        <f>FF$60</f>
        <v>0.5426580570887678</v>
      </c>
      <c r="EP27" s="2">
        <v>40878</v>
      </c>
      <c r="EQ27" s="193">
        <v>43252</v>
      </c>
    </row>
    <row r="28" spans="3:164" ht="16.19" customHeight="1">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289"/>
      <c r="AG28" s="299"/>
      <c r="AY28" s="180"/>
      <c r="BA28" s="288">
        <f t="shared" si="35"/>
        <v>40892</v>
      </c>
      <c r="BB28" s="48" t="str">
        <f t="shared" si="0"/>
        <v/>
      </c>
      <c r="BC28" s="222" t="str">
        <f t="shared" si="36"/>
        <v/>
      </c>
      <c r="BD28" s="173" t="str">
        <f t="shared" si="1"/>
        <v/>
      </c>
      <c r="BE28" s="99" t="str">
        <f t="shared" si="37"/>
        <v/>
      </c>
      <c r="BF28" s="4" t="str">
        <f t="shared" si="2"/>
        <v/>
      </c>
      <c r="BG28" s="3" t="str">
        <f t="shared" si="3"/>
        <v/>
      </c>
      <c r="BM28" s="31"/>
      <c r="BO28" s="392"/>
      <c r="BP28" s="158">
        <f t="shared" si="38"/>
        <v>40892</v>
      </c>
      <c r="BQ28" s="373">
        <f>IF($BA$32="d",'Profils de colonie'!I54,IF($BA$32="n",'Profils de colonie'!I82,IF($BA$32="p",'Profils de colonie'!I110,IF($BA$32="a",'Profils de colonie'!I138,IF($BA$32="b",'Profils de colonie'!I166,IF($BA$32="c",'Profils de colonie'!I194,IF($BA$32="r",'Profils de colonie'!I222,IF($BA$32="s",'Profils de colonie'!I250,IF($BA$32="f",'Profils de colonie'!I278,"erreur")))))))))</f>
        <v>8</v>
      </c>
      <c r="BR28">
        <f t="shared" si="4"/>
        <v>16000</v>
      </c>
      <c r="BS28" s="68">
        <f>IF($BA$32="d",'Profils de colonie'!G54,IF($BA$32="n",'Profils de colonie'!G82,IF($BA$32="p",'Profils de colonie'!G110,IF($BA$32="a",'Profils de colonie'!G138,IF($BA$32="b",'Profils de colonie'!G166,IF($BA$32="c",'Profils de colonie'!G194,IF($BA$32="r",'Profils de colonie'!G222,IF($BA$32="s",'Profils de colonie'!G250,IF($BA$32="f",'Profils de colonie'!G278,"erreur")))))))))</f>
        <v>0</v>
      </c>
      <c r="BT28" s="13">
        <f t="shared" si="5"/>
        <v>1</v>
      </c>
      <c r="BU28" s="17">
        <f t="shared" si="6"/>
        <v>6.2500000000000001E-5</v>
      </c>
      <c r="BV28">
        <f t="shared" si="39"/>
        <v>0.6</v>
      </c>
      <c r="BW28" s="14">
        <f t="shared" si="40"/>
        <v>0</v>
      </c>
      <c r="BX28" s="14">
        <f t="shared" si="7"/>
        <v>0.05</v>
      </c>
      <c r="BY28" s="89">
        <f t="shared" si="41"/>
        <v>53.401720006109592</v>
      </c>
      <c r="BZ28" s="21">
        <f t="shared" si="8"/>
        <v>65.401720006109599</v>
      </c>
      <c r="CA28" s="26">
        <f t="shared" si="9"/>
        <v>1</v>
      </c>
      <c r="CB28" s="103">
        <f t="shared" si="10"/>
        <v>0</v>
      </c>
      <c r="CC28" s="22">
        <f t="shared" si="11"/>
        <v>0</v>
      </c>
      <c r="CD28" s="5">
        <f t="shared" si="12"/>
        <v>0.6</v>
      </c>
      <c r="CE28" s="67">
        <f>IF($BA$32="d",'Profils de colonie'!K54,IF($BA$32="n",'Profils de colonie'!K82,IF($BA$32="p",'Profils de colonie'!K110,IF($BA$32="a",'Profils de colonie'!K138,IF($BA$32="b",'Profils de colonie'!K166,IF($BA$32="c",'Profils de colonie'!K194,IF($BA$32="r",'Profils de colonie'!K222,IF($BA$32="s",'Profils de colonie'!K222,IF($BA$32="f",'Profils de colonie'!K278,"erreur")))))))))</f>
        <v>0</v>
      </c>
      <c r="CF28" s="87">
        <f t="shared" si="42"/>
        <v>0</v>
      </c>
      <c r="CG28" s="63">
        <f t="shared" si="43"/>
        <v>0</v>
      </c>
      <c r="CH28" s="84">
        <f t="shared" si="44"/>
        <v>0</v>
      </c>
      <c r="CI28" s="60">
        <f t="shared" si="13"/>
        <v>0</v>
      </c>
      <c r="CJ28" s="61">
        <f t="shared" si="45"/>
        <v>0</v>
      </c>
      <c r="CK28" s="266">
        <f t="shared" si="14"/>
        <v>0</v>
      </c>
      <c r="CL28" s="267">
        <f t="shared" si="46"/>
        <v>0</v>
      </c>
      <c r="CM28" s="61">
        <f t="shared" si="15"/>
        <v>68.401720006109599</v>
      </c>
      <c r="CN28" s="265">
        <v>1</v>
      </c>
      <c r="CO28" s="71">
        <f t="shared" si="16"/>
        <v>4.2749999999999995</v>
      </c>
      <c r="CP28" s="65">
        <f t="shared" si="47"/>
        <v>9.8493837450082944E-2</v>
      </c>
      <c r="CQ28" s="85">
        <f t="shared" si="48"/>
        <v>0</v>
      </c>
      <c r="CR28" s="59">
        <f t="shared" si="49"/>
        <v>0.6</v>
      </c>
      <c r="CS28" s="59">
        <f t="shared" si="17"/>
        <v>0</v>
      </c>
      <c r="CT28" s="62">
        <f t="shared" si="18"/>
        <v>0</v>
      </c>
      <c r="CU28" s="263">
        <f t="shared" si="19"/>
        <v>0</v>
      </c>
      <c r="CV28" s="265">
        <f t="shared" si="50"/>
        <v>0</v>
      </c>
      <c r="CW28" s="64">
        <f t="shared" si="20"/>
        <v>1</v>
      </c>
      <c r="CX28" s="62">
        <f t="shared" si="21"/>
        <v>65.401720006109599</v>
      </c>
      <c r="CY28" s="264">
        <v>1</v>
      </c>
      <c r="CZ28" s="70">
        <f t="shared" si="51"/>
        <v>2.2586249999999999</v>
      </c>
      <c r="DA28" s="66">
        <f t="shared" si="22"/>
        <v>0</v>
      </c>
      <c r="DB28" s="91">
        <f t="shared" si="23"/>
        <v>0</v>
      </c>
      <c r="DC28" s="23">
        <f t="shared" si="24"/>
        <v>-5.0125418235442863E-3</v>
      </c>
      <c r="DD28" s="28">
        <f t="shared" si="25"/>
        <v>-5.0125418235442863E-3</v>
      </c>
      <c r="DE28" s="28"/>
      <c r="DF28" s="270">
        <f t="shared" si="68"/>
        <v>2108.1064703911084</v>
      </c>
      <c r="DG28" s="178">
        <f t="shared" si="26"/>
        <v>1475.6745292737758</v>
      </c>
      <c r="DH28" s="178">
        <f t="shared" si="69"/>
        <v>674.88785632268662</v>
      </c>
      <c r="DI28" s="116">
        <f t="shared" si="70"/>
        <v>0</v>
      </c>
      <c r="DJ28" s="13">
        <f t="shared" si="53"/>
        <v>2108.1064703911084</v>
      </c>
      <c r="DK28" s="199">
        <f t="shared" si="54"/>
        <v>154.73325864992921</v>
      </c>
      <c r="DL28" s="107">
        <f t="shared" si="27"/>
        <v>1953.3732117411791</v>
      </c>
      <c r="DM28" s="182">
        <f>'Immigration de varroas'!E35</f>
        <v>0</v>
      </c>
      <c r="DN28" s="109">
        <f t="shared" si="55"/>
        <v>-63.8731556155806</v>
      </c>
      <c r="DO28" s="82">
        <f t="shared" si="63"/>
        <v>-63.8731556155806</v>
      </c>
      <c r="DP28" s="198">
        <f t="shared" si="28"/>
        <v>1889.5000561255986</v>
      </c>
      <c r="DQ28" s="278">
        <f>FH$33</f>
        <v>0</v>
      </c>
      <c r="DR28" s="107">
        <f t="shared" si="56"/>
        <v>0</v>
      </c>
      <c r="DS28" s="79">
        <f t="shared" si="29"/>
        <v>1889.5000561255986</v>
      </c>
      <c r="DT28" s="23">
        <f t="shared" si="30"/>
        <v>-7.1985444603590767E-3</v>
      </c>
      <c r="DU28" s="158">
        <f t="shared" si="31"/>
        <v>40892</v>
      </c>
      <c r="DV28" s="74">
        <f t="shared" si="32"/>
        <v>2108.1064703911084</v>
      </c>
      <c r="DW28" s="23">
        <f t="shared" si="33"/>
        <v>0.13175665439944428</v>
      </c>
      <c r="DX28" s="114">
        <f t="shared" si="34"/>
        <v>41.503346135824948</v>
      </c>
      <c r="DY28" s="179" t="str">
        <f t="shared" si="65"/>
        <v/>
      </c>
      <c r="DZ28" s="179">
        <f t="shared" si="66"/>
        <v>100</v>
      </c>
      <c r="EA28" s="179">
        <f t="shared" si="71"/>
        <v>0</v>
      </c>
      <c r="EB28">
        <f t="shared" si="67"/>
        <v>100</v>
      </c>
      <c r="EC28" s="13">
        <f t="shared" si="57"/>
        <v>307.96875</v>
      </c>
      <c r="ED28" s="14">
        <f t="shared" si="58"/>
        <v>-500</v>
      </c>
      <c r="EE28" s="13">
        <f t="shared" si="59"/>
        <v>807.96875</v>
      </c>
      <c r="EF28" s="13">
        <f t="shared" si="64"/>
        <v>53.12671232876712</v>
      </c>
      <c r="EG28" s="17">
        <f t="shared" si="60"/>
        <v>0.6</v>
      </c>
      <c r="EH28" s="197">
        <f t="shared" si="61"/>
        <v>63.8731556155806</v>
      </c>
      <c r="EJ28" s="13">
        <f t="shared" si="62"/>
        <v>0</v>
      </c>
      <c r="EK28" s="131">
        <f>FH$58</f>
        <v>4547.2073010587192</v>
      </c>
      <c r="EL28" s="31">
        <f>FG$60</f>
        <v>0.76353851525983318</v>
      </c>
      <c r="EP28" s="2">
        <v>40892</v>
      </c>
      <c r="EQ28" s="193">
        <v>43266</v>
      </c>
      <c r="ET28">
        <v>11.025</v>
      </c>
    </row>
    <row r="29" spans="3:164" ht="16" customHeight="1">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D29" s="289"/>
      <c r="AG29" s="299"/>
      <c r="AH29" s="181"/>
      <c r="AJ29" s="126"/>
      <c r="AK29" s="126"/>
      <c r="AL29" s="126"/>
      <c r="AM29" s="126"/>
      <c r="AN29" s="126"/>
      <c r="AO29" s="126"/>
      <c r="AP29" s="126"/>
      <c r="AQ29" s="126"/>
      <c r="AR29" s="126"/>
      <c r="AS29" s="126"/>
      <c r="AT29" s="126"/>
      <c r="AU29" s="126"/>
      <c r="AV29" s="126"/>
      <c r="AW29" s="126"/>
      <c r="AX29" s="126"/>
      <c r="AY29" s="126"/>
      <c r="BA29" s="288">
        <f t="shared" si="35"/>
        <v>40908</v>
      </c>
      <c r="BB29" s="48" t="str">
        <f>IF(EB28&gt;0,"",DF29)</f>
        <v/>
      </c>
      <c r="BC29" s="222" t="str">
        <f>IF(EB29&gt;0,"",DT29)</f>
        <v/>
      </c>
      <c r="BD29" s="173" t="str">
        <f t="shared" si="1"/>
        <v/>
      </c>
      <c r="BE29" s="99" t="str">
        <f>IF(EB29&gt;0,"",DX29)</f>
        <v/>
      </c>
      <c r="BF29" s="4" t="str">
        <f t="shared" si="2"/>
        <v/>
      </c>
      <c r="BG29" s="3" t="str">
        <f t="shared" si="3"/>
        <v/>
      </c>
      <c r="BL29" s="76"/>
      <c r="BM29" s="76"/>
      <c r="BP29" s="158">
        <f t="shared" si="38"/>
        <v>40908</v>
      </c>
      <c r="BQ29" s="373">
        <f>IF($BA$32="d",'Profils de colonie'!I55,IF($BA$32="n",'Profils de colonie'!I83,IF($BA$32="p",'Profils de colonie'!I111,IF($BA$32="a",'Profils de colonie'!I139,IF($BA$32="b",'Profils de colonie'!I167,IF($BA$32="c",'Profils de colonie'!I195,IF($BA$32="r",'Profils de colonie'!I223,IF($BA$32="s",'Profils de colonie'!I251,IF($BA$32="f",'Profils de colonie'!I279,"erreur")))))))))</f>
        <v>8</v>
      </c>
      <c r="BR29">
        <f>BQ29*$BQ$45</f>
        <v>16000</v>
      </c>
      <c r="BS29" s="68">
        <f>IF($BA$32="d",'Profils de colonie'!G55,IF($BA$32="n",'Profils de colonie'!G83,IF($BA$32="p",'Profils de colonie'!G111,IF($BA$32="a",'Profils de colonie'!G139,IF($BA$32="b",'Profils de colonie'!G167,IF($BA$32="c",'Profils de colonie'!G195,IF($BA$32="r",'Profils de colonie'!G223,IF($BA$32="s",'Profils de colonie'!G251,IF($BA$32="f",'Profils de colonie'!G279,"erreur")))))))))</f>
        <v>0.125</v>
      </c>
      <c r="BT29" s="13">
        <f>IF(BS29=0,1,$BQ$44*BS29)</f>
        <v>562.5</v>
      </c>
      <c r="BU29" s="17">
        <f>IF(BR29=0,0,BT29/BR29)</f>
        <v>3.515625E-2</v>
      </c>
      <c r="BV29">
        <f>BT29*12/20</f>
        <v>337.5</v>
      </c>
      <c r="BW29" s="14">
        <f>CU29*BV29</f>
        <v>291.42008353492895</v>
      </c>
      <c r="BX29" s="14">
        <f>BT29/20</f>
        <v>28.125</v>
      </c>
      <c r="BY29" s="89">
        <f>IF(BU29=0,0.001,(-$BQ$43*LN(BU29))+$BQ$42)</f>
        <v>21.739764335716714</v>
      </c>
      <c r="BZ29" s="21">
        <f>BY29+12</f>
        <v>33.739764335716714</v>
      </c>
      <c r="CA29" s="26">
        <f>IF(BS29=0,1,BY29/BZ29)</f>
        <v>0.6443365792185789</v>
      </c>
      <c r="CB29" s="103">
        <f>1-CA29</f>
        <v>0.3556634207814211</v>
      </c>
      <c r="CC29" s="22">
        <f t="shared" si="11"/>
        <v>672.02605352831756</v>
      </c>
      <c r="CD29" s="5">
        <f>0.6*BT29</f>
        <v>337.5</v>
      </c>
      <c r="CE29" s="67">
        <f>IF($BA$32="d",'Profils de colonie'!K55,IF($BA$32="n",'Profils de colonie'!K83,IF($BA$32="p",'Profils de colonie'!K111,IF($BA$32="a",'Profils de colonie'!J139,IF($BA$32="b",'Profils de colonie'!K167,IF($BA$32="c",'Profils de colonie'!K195,IF($BA$32="r",'Profils de colonie'!K223,IF($BA$32="s",'Profils de colonie'!K223,IF($BA$32="f",'Profils de colonie'!K279,"erreur")))))))))</f>
        <v>0</v>
      </c>
      <c r="CF29" s="87">
        <f t="shared" si="42"/>
        <v>0</v>
      </c>
      <c r="CG29" s="63">
        <f t="shared" si="43"/>
        <v>0</v>
      </c>
      <c r="CH29" s="84">
        <f>CG29*CB29</f>
        <v>0</v>
      </c>
      <c r="CI29" s="60">
        <f>CG29*CC29</f>
        <v>0</v>
      </c>
      <c r="CJ29" s="61">
        <f>IF(CF29=0,0,CI29/(CD29*CF29))</f>
        <v>0</v>
      </c>
      <c r="CK29" s="266">
        <f t="shared" si="14"/>
        <v>0</v>
      </c>
      <c r="CL29" s="267">
        <f>IF(CK29=0,0,CJ29/CK29)</f>
        <v>0</v>
      </c>
      <c r="CM29" s="61">
        <f>BY29+15</f>
        <v>36.739764335716714</v>
      </c>
      <c r="CN29" s="265">
        <v>1</v>
      </c>
      <c r="CO29" s="71">
        <f>(1+($BQ$32*CN29))*$BQ$47</f>
        <v>4.2749999999999995</v>
      </c>
      <c r="CP29" s="65">
        <f>LN(CO29)/14.75</f>
        <v>9.8493837450082944E-2</v>
      </c>
      <c r="CQ29" s="85">
        <f>1-CA29-CH29</f>
        <v>0.3556634207814211</v>
      </c>
      <c r="CR29" s="59">
        <f>(1-CF29)*CD29</f>
        <v>337.5</v>
      </c>
      <c r="CS29" s="59">
        <f>CC29-CI29</f>
        <v>672.02605352831756</v>
      </c>
      <c r="CT29" s="62">
        <f>CS29/CR29</f>
        <v>1.9911883067505705</v>
      </c>
      <c r="CU29" s="263">
        <f t="shared" si="19"/>
        <v>0.86346691417756727</v>
      </c>
      <c r="CV29" s="265">
        <f t="shared" si="50"/>
        <v>2.3060362453040657</v>
      </c>
      <c r="CW29" s="64">
        <f t="shared" si="20"/>
        <v>1</v>
      </c>
      <c r="CX29" s="62">
        <f t="shared" si="21"/>
        <v>33.739764335716714</v>
      </c>
      <c r="CY29" s="264">
        <v>1</v>
      </c>
      <c r="CZ29" s="70">
        <f t="shared" si="51"/>
        <v>2.2586249999999999</v>
      </c>
      <c r="DA29" s="66">
        <f t="shared" si="22"/>
        <v>0</v>
      </c>
      <c r="DB29" s="91">
        <f t="shared" si="23"/>
        <v>0</v>
      </c>
      <c r="DC29" s="23">
        <f t="shared" si="24"/>
        <v>-5.0125418235442863E-3</v>
      </c>
      <c r="DD29" s="28">
        <f>DB29+DC29</f>
        <v>-5.0125418235442863E-3</v>
      </c>
      <c r="DE29" s="28"/>
      <c r="DF29" s="270">
        <f t="shared" si="68"/>
        <v>1889.5000561255986</v>
      </c>
      <c r="DG29" s="178">
        <f t="shared" si="26"/>
        <v>1322.6500392879188</v>
      </c>
      <c r="DH29" s="178">
        <f t="shared" si="69"/>
        <v>312.75579208166124</v>
      </c>
      <c r="DI29" s="116">
        <f t="shared" si="70"/>
        <v>0</v>
      </c>
      <c r="DJ29" s="13">
        <f>DF29+DI29</f>
        <v>1889.5000561255986</v>
      </c>
      <c r="DK29" s="199">
        <f>DJ29-DL29</f>
        <v>138.68772996522148</v>
      </c>
      <c r="DL29" s="107">
        <f t="shared" si="27"/>
        <v>1750.8123261603771</v>
      </c>
      <c r="DM29" s="182">
        <f>'Immigration de varroas'!D36</f>
        <v>0</v>
      </c>
      <c r="DN29" s="109">
        <f>IF(EH29&gt;DV29*EG29,-DV29*EG29,-EH29)</f>
        <v>-3.1245328894781779E-2</v>
      </c>
      <c r="DO29" s="82">
        <f t="shared" si="63"/>
        <v>-3.1245328894781779E-2</v>
      </c>
      <c r="DP29" s="198">
        <f t="shared" si="28"/>
        <v>1750.7810808314823</v>
      </c>
      <c r="DQ29" s="278"/>
      <c r="DR29" s="107"/>
      <c r="DS29" s="79">
        <f t="shared" si="29"/>
        <v>1750.7810808314823</v>
      </c>
      <c r="DT29" s="23">
        <f t="shared" si="30"/>
        <v>-5.0137152821048015E-3</v>
      </c>
      <c r="DU29" s="158">
        <f t="shared" si="31"/>
        <v>40908</v>
      </c>
      <c r="DV29" s="74">
        <f t="shared" si="32"/>
        <v>1217.474002597281</v>
      </c>
      <c r="DW29" s="23">
        <f t="shared" si="33"/>
        <v>7.6092125162330063E-2</v>
      </c>
      <c r="DX29" s="114">
        <f>DW29*315</f>
        <v>23.969019426133968</v>
      </c>
      <c r="DY29" s="179" t="str">
        <f t="shared" si="65"/>
        <v/>
      </c>
      <c r="DZ29" s="179">
        <f t="shared" si="66"/>
        <v>100</v>
      </c>
      <c r="EA29" s="179">
        <f t="shared" si="71"/>
        <v>0</v>
      </c>
      <c r="EB29">
        <f t="shared" si="67"/>
        <v>100</v>
      </c>
      <c r="EC29" s="13">
        <f t="shared" si="57"/>
        <v>0.68437499999999996</v>
      </c>
      <c r="ED29" s="14">
        <f t="shared" si="58"/>
        <v>0</v>
      </c>
      <c r="EE29" s="13">
        <f>EC29-ED29</f>
        <v>0.68437499999999996</v>
      </c>
      <c r="EF29" s="13">
        <f t="shared" si="64"/>
        <v>4.4999999999999998E-2</v>
      </c>
      <c r="EG29" s="17">
        <f>IF(DW29&gt;0.15,1,$BQ$36)</f>
        <v>0.6</v>
      </c>
      <c r="EH29" s="197">
        <f>EE29*EG29*DW29</f>
        <v>3.1245328894781779E-2</v>
      </c>
      <c r="EJ29" s="13">
        <f t="shared" si="62"/>
        <v>0</v>
      </c>
      <c r="EK29" s="131">
        <f>FH$58</f>
        <v>4547.2073010587192</v>
      </c>
      <c r="EL29" s="31">
        <f>FG$60</f>
        <v>0.76353851525983318</v>
      </c>
      <c r="EN29" s="14"/>
      <c r="EO29" s="14"/>
      <c r="EP29" s="2">
        <v>40908</v>
      </c>
      <c r="EQ29" s="193">
        <v>43281</v>
      </c>
    </row>
    <row r="30" spans="3:164" ht="16.19" customHeight="1">
      <c r="AG30" s="191"/>
      <c r="AJ30" s="126"/>
      <c r="AK30" s="126"/>
      <c r="AL30" s="126"/>
      <c r="AM30" s="126"/>
      <c r="AN30" s="126"/>
      <c r="AO30" s="126"/>
      <c r="AP30" s="126"/>
      <c r="AQ30" s="126"/>
      <c r="AR30" s="126"/>
      <c r="AS30" s="126"/>
      <c r="AT30" s="126"/>
      <c r="AU30" s="126"/>
      <c r="AV30" s="126"/>
      <c r="AW30" s="126"/>
      <c r="AX30" s="126"/>
      <c r="AY30" s="126"/>
      <c r="AZ30" s="260"/>
      <c r="BA30" s="234" t="s">
        <v>127</v>
      </c>
      <c r="BB30" s="236">
        <f>MAX(BB5:BB29)</f>
        <v>9590.6365557186346</v>
      </c>
      <c r="BC30" s="235" t="s">
        <v>128</v>
      </c>
      <c r="BD30" s="233">
        <f>SUM(BD5:BD29)</f>
        <v>0</v>
      </c>
      <c r="BE30" s="224"/>
      <c r="BF30" s="224"/>
      <c r="BG30" s="224"/>
      <c r="BH30" s="224"/>
      <c r="BI30" s="224"/>
      <c r="BJ30" s="224"/>
      <c r="BK30" s="179"/>
      <c r="BL30" s="179"/>
      <c r="BM30" s="179"/>
      <c r="BN30" s="179"/>
      <c r="BO30" s="384" t="s">
        <v>129</v>
      </c>
      <c r="BP30" s="239">
        <f t="shared" ref="BP30:BP36" si="72">AH41</f>
        <v>1.45</v>
      </c>
      <c r="BQ30" s="136">
        <f>IF($AH$39="custom",AI41*(1-$BQ$40),IF($AH$39="",BP30*(1-AH50),"erreur"))</f>
        <v>1.3774999999999999</v>
      </c>
      <c r="BR30" s="163" t="s">
        <v>130</v>
      </c>
      <c r="BY30" s="21"/>
      <c r="BZ30" s="5">
        <f>BY30+12</f>
        <v>12</v>
      </c>
      <c r="CG30"/>
      <c r="CM30" s="61">
        <f>BY30+15</f>
        <v>15</v>
      </c>
      <c r="CT30" s="5" t="s">
        <v>131</v>
      </c>
      <c r="CU30" s="31">
        <f>MAX(CU5:CU29)</f>
        <v>0.94795810064718922</v>
      </c>
      <c r="CV30" s="17"/>
      <c r="CZ30" s="5"/>
      <c r="DM30" s="183">
        <f>SUM(DM5:DM28)</f>
        <v>0</v>
      </c>
      <c r="DN30" s="29">
        <f>SUM(DN6:DN29)</f>
        <v>-5805.5992649817454</v>
      </c>
      <c r="DO30" s="82">
        <f>DM30+DN30</f>
        <v>-5805.5992649817454</v>
      </c>
      <c r="DY30" s="463" t="s">
        <v>82</v>
      </c>
      <c r="DZ30" s="463" t="s">
        <v>83</v>
      </c>
      <c r="EA30" s="463" t="s">
        <v>84</v>
      </c>
      <c r="EB30" s="463" t="s">
        <v>85</v>
      </c>
      <c r="EL30">
        <v>4</v>
      </c>
      <c r="EM30">
        <v>5</v>
      </c>
      <c r="EN30">
        <v>6</v>
      </c>
      <c r="EO30">
        <v>7</v>
      </c>
      <c r="EP30">
        <v>8</v>
      </c>
      <c r="EQ30">
        <v>9</v>
      </c>
      <c r="ER30">
        <v>10</v>
      </c>
      <c r="ES30">
        <v>11</v>
      </c>
      <c r="ET30">
        <v>12</v>
      </c>
      <c r="EU30">
        <v>13</v>
      </c>
      <c r="EV30">
        <v>14</v>
      </c>
      <c r="EW30">
        <v>15</v>
      </c>
      <c r="EX30">
        <v>16</v>
      </c>
      <c r="EY30">
        <v>17</v>
      </c>
      <c r="EZ30">
        <v>18</v>
      </c>
      <c r="FA30">
        <v>19</v>
      </c>
      <c r="FB30">
        <v>20</v>
      </c>
      <c r="FC30">
        <v>21</v>
      </c>
      <c r="FD30">
        <v>22</v>
      </c>
      <c r="FE30">
        <v>23</v>
      </c>
      <c r="FF30">
        <v>24</v>
      </c>
      <c r="FG30">
        <v>25</v>
      </c>
      <c r="FH30">
        <v>26</v>
      </c>
    </row>
    <row r="31" spans="3:164" ht="16.19" customHeight="1">
      <c r="C31" s="462" t="s">
        <v>132</v>
      </c>
      <c r="D31" s="462"/>
      <c r="E31" s="462"/>
      <c r="F31" s="462"/>
      <c r="G31" s="462"/>
      <c r="H31" s="462"/>
      <c r="I31" s="462"/>
      <c r="J31" s="462"/>
      <c r="K31" s="462"/>
      <c r="L31" s="462"/>
      <c r="M31" s="462"/>
      <c r="N31" s="462"/>
      <c r="AG31" s="191"/>
      <c r="AI31" s="126"/>
      <c r="AJ31" s="126"/>
      <c r="AK31" s="126"/>
      <c r="AL31" s="126"/>
      <c r="AM31" s="126"/>
      <c r="AN31" s="126"/>
      <c r="AO31" s="126"/>
      <c r="AP31" s="126"/>
      <c r="AQ31" s="126"/>
      <c r="AR31" s="126"/>
      <c r="AS31" s="126"/>
      <c r="AT31" s="126"/>
      <c r="AU31" s="126"/>
      <c r="AV31" s="126"/>
      <c r="AW31" s="126"/>
      <c r="AX31" s="126"/>
      <c r="AY31" s="126"/>
      <c r="AZ31" s="126"/>
      <c r="BA31" s="126"/>
      <c r="BC31" s="374"/>
      <c r="BM31" s="10"/>
      <c r="BO31" s="384"/>
      <c r="BP31" s="239">
        <f t="shared" si="72"/>
        <v>0.7</v>
      </c>
      <c r="BQ31" s="50">
        <f t="shared" ref="BQ31:BQ36" si="73">IF($AH$39="custom",AI42,IF($AH$39="",BP31,"erreur"))</f>
        <v>0.7</v>
      </c>
      <c r="BR31" s="163" t="s">
        <v>133</v>
      </c>
      <c r="BZ31" s="77">
        <f>(1+(BQ30*BQ31))</f>
        <v>1.9642499999999998</v>
      </c>
      <c r="CA31" s="352" t="s">
        <v>134</v>
      </c>
      <c r="CB31"/>
      <c r="CC31"/>
      <c r="CZ31" s="352"/>
      <c r="DY31" s="463"/>
      <c r="DZ31" s="463"/>
      <c r="EA31" s="463"/>
      <c r="EB31" s="463"/>
      <c r="EJ31" t="s">
        <v>135</v>
      </c>
      <c r="EK31" s="13">
        <f>BT5</f>
        <v>1</v>
      </c>
      <c r="EL31" s="13">
        <f>BT6</f>
        <v>1125</v>
      </c>
      <c r="EM31" s="13">
        <f>BT7</f>
        <v>1485</v>
      </c>
      <c r="EN31" s="13">
        <f>BT8</f>
        <v>3375</v>
      </c>
      <c r="EO31" s="13">
        <f>BT9</f>
        <v>4500</v>
      </c>
      <c r="EP31" s="13">
        <f>BT10</f>
        <v>9000</v>
      </c>
      <c r="EQ31" s="13">
        <f>BT11</f>
        <v>13500</v>
      </c>
      <c r="ER31" s="13">
        <f>BT12</f>
        <v>22500</v>
      </c>
      <c r="ES31" s="13">
        <f>BT13</f>
        <v>27000</v>
      </c>
      <c r="ET31" s="13">
        <f>BT14</f>
        <v>29250</v>
      </c>
      <c r="EU31" s="13">
        <f>BT15</f>
        <v>31500</v>
      </c>
      <c r="EV31" s="13">
        <f>BT16</f>
        <v>29250</v>
      </c>
      <c r="EW31" s="13">
        <f>BT17</f>
        <v>27000</v>
      </c>
      <c r="EX31" s="13">
        <f>BT18</f>
        <v>22500</v>
      </c>
      <c r="EY31" s="13">
        <f>BT19</f>
        <v>20250</v>
      </c>
      <c r="EZ31" s="13">
        <f>BT20</f>
        <v>18000</v>
      </c>
      <c r="FA31" s="13">
        <f>BT21</f>
        <v>15750</v>
      </c>
      <c r="FB31" s="13">
        <f>BT22</f>
        <v>18000</v>
      </c>
      <c r="FC31" s="13">
        <f>BT23</f>
        <v>9000</v>
      </c>
      <c r="FD31" s="13">
        <f>BT24</f>
        <v>2250</v>
      </c>
      <c r="FE31" s="13">
        <f>BT25</f>
        <v>1125</v>
      </c>
      <c r="FF31" s="13">
        <f>BT26</f>
        <v>562.5</v>
      </c>
      <c r="FG31" s="13">
        <f>BT27</f>
        <v>450</v>
      </c>
      <c r="FH31" s="13">
        <f>BT28</f>
        <v>1</v>
      </c>
    </row>
    <row r="32" spans="3:164" ht="16.44">
      <c r="C32" s="444" t="str">
        <f>'Profils de colonie'!B30</f>
        <v>D : colonie par défaut en climat tempéré, conduite pour éviter l’essaimage (légère reprise du couvain en automne)</v>
      </c>
      <c r="D32" s="444"/>
      <c r="E32" s="444"/>
      <c r="F32" s="444"/>
      <c r="G32" s="444"/>
      <c r="H32" s="444"/>
      <c r="I32" s="444"/>
      <c r="J32" s="444"/>
      <c r="K32" s="444"/>
      <c r="L32" s="444"/>
      <c r="M32" s="444"/>
      <c r="N32" s="444"/>
      <c r="AG32" s="191"/>
      <c r="AN32" s="352"/>
      <c r="AO32" s="352"/>
      <c r="AP32" s="352"/>
      <c r="AQ32" s="352"/>
      <c r="AR32" s="352"/>
      <c r="AS32" s="352"/>
      <c r="AT32" s="352"/>
      <c r="AU32" s="352"/>
      <c r="AV32" s="352"/>
      <c r="AW32" s="352"/>
      <c r="AX32" s="352"/>
      <c r="AY32" s="352"/>
      <c r="AZ32" s="352"/>
      <c r="BA32" s="301" t="str">
        <f>D22</f>
        <v>d</v>
      </c>
      <c r="BB32" s="279" t="s">
        <v>136</v>
      </c>
      <c r="BC32" s="352"/>
      <c r="BD32" s="352"/>
      <c r="BE32" s="352"/>
      <c r="BH32" s="404"/>
      <c r="BI32" s="404"/>
      <c r="BJ32" s="404"/>
      <c r="BK32" s="404"/>
      <c r="BL32" s="404"/>
      <c r="BM32" s="404"/>
      <c r="BN32" s="404"/>
      <c r="BO32" s="384" t="s">
        <v>137</v>
      </c>
      <c r="BP32" s="239">
        <f t="shared" si="72"/>
        <v>3.5</v>
      </c>
      <c r="BQ32" s="136">
        <f t="shared" si="73"/>
        <v>3.5</v>
      </c>
      <c r="BR32" s="163" t="s">
        <v>138</v>
      </c>
      <c r="BZ32">
        <f>LN(BZ31)</f>
        <v>0.67511049307379378</v>
      </c>
      <c r="CA32" s="352" t="s">
        <v>139</v>
      </c>
      <c r="CB32"/>
      <c r="CC32"/>
      <c r="CD32"/>
      <c r="CE32" s="31"/>
      <c r="CF32" s="31"/>
      <c r="CI32" s="352"/>
      <c r="CO32" s="31"/>
      <c r="CY32" s="9"/>
      <c r="CZ32" s="11"/>
      <c r="DI32" s="13"/>
      <c r="DW32" s="56"/>
      <c r="DY32" s="463"/>
      <c r="DZ32" s="463"/>
      <c r="EA32" s="463"/>
      <c r="EB32" s="463"/>
      <c r="EJ32" s="377" t="s">
        <v>140</v>
      </c>
      <c r="EK32" s="2">
        <v>40544</v>
      </c>
      <c r="EL32" s="2">
        <v>40558</v>
      </c>
      <c r="EM32" s="2">
        <v>40575</v>
      </c>
      <c r="EN32" s="2">
        <v>40589</v>
      </c>
      <c r="EO32" s="2">
        <v>40603</v>
      </c>
      <c r="EP32" s="2">
        <v>40617</v>
      </c>
      <c r="EQ32" s="2">
        <v>40634</v>
      </c>
      <c r="ER32" s="2">
        <v>40648</v>
      </c>
      <c r="ES32" s="2">
        <v>40664</v>
      </c>
      <c r="ET32" s="2">
        <v>40678</v>
      </c>
      <c r="EU32" s="2">
        <v>40695</v>
      </c>
      <c r="EV32" s="2">
        <v>40709</v>
      </c>
      <c r="EW32" s="2">
        <v>40725</v>
      </c>
      <c r="EX32" s="2">
        <v>40739</v>
      </c>
      <c r="EY32" s="2">
        <v>40756</v>
      </c>
      <c r="EZ32" s="2">
        <v>40770</v>
      </c>
      <c r="FA32" s="2">
        <v>40787</v>
      </c>
      <c r="FB32" s="2">
        <v>40801</v>
      </c>
      <c r="FC32" s="2">
        <v>40817</v>
      </c>
      <c r="FD32" s="2">
        <v>40831</v>
      </c>
      <c r="FE32" s="2">
        <v>40848</v>
      </c>
      <c r="FF32" s="2">
        <v>40862</v>
      </c>
      <c r="FG32" s="2">
        <v>40878</v>
      </c>
      <c r="FH32" s="2">
        <v>40892</v>
      </c>
    </row>
    <row r="33" spans="3:164" ht="16.44">
      <c r="C33" s="444"/>
      <c r="D33" s="444"/>
      <c r="E33" s="444"/>
      <c r="F33" s="444"/>
      <c r="G33" s="444"/>
      <c r="H33" s="444"/>
      <c r="I33" s="444"/>
      <c r="J33" s="444"/>
      <c r="K33" s="444"/>
      <c r="L33" s="444"/>
      <c r="M33" s="444"/>
      <c r="N33" s="444"/>
      <c r="AG33" s="191"/>
      <c r="BA33" s="303">
        <f>D23</f>
        <v>100</v>
      </c>
      <c r="BB33" s="302" t="s">
        <v>141</v>
      </c>
      <c r="BC33" s="6"/>
      <c r="BD33" s="6"/>
      <c r="BE33" s="6"/>
      <c r="BG33" s="128"/>
      <c r="BO33" s="384"/>
      <c r="BP33" s="239">
        <f t="shared" si="72"/>
        <v>0.7</v>
      </c>
      <c r="BQ33" s="50">
        <f t="shared" si="73"/>
        <v>0.7</v>
      </c>
      <c r="BR33" s="163" t="s">
        <v>142</v>
      </c>
      <c r="BW33">
        <f>LN(1885/1160)/23</f>
        <v>2.1109035468769601E-2</v>
      </c>
      <c r="BZ33" s="77">
        <f>(LN(1+(BQ30*BQ31)))/12</f>
        <v>5.6259207756149482E-2</v>
      </c>
      <c r="CA33" t="s">
        <v>143</v>
      </c>
      <c r="CB33"/>
      <c r="CC33"/>
      <c r="CD33"/>
      <c r="CE33" s="31"/>
      <c r="CF33" s="31"/>
      <c r="CG33"/>
      <c r="CK33" s="9"/>
      <c r="CY33" s="5"/>
      <c r="CZ33" s="352"/>
      <c r="DW33" s="56"/>
      <c r="DY33" s="463"/>
      <c r="DZ33" s="463"/>
      <c r="EA33" s="463"/>
      <c r="EB33" s="463"/>
      <c r="EJ33" s="5" t="s">
        <v>144</v>
      </c>
      <c r="EK33" s="152">
        <f>'Modèle principal'!D21</f>
        <v>0</v>
      </c>
      <c r="EL33" s="152">
        <f>'Modèle principal'!E21</f>
        <v>0</v>
      </c>
      <c r="EM33" s="152">
        <f>'Modèle principal'!F21</f>
        <v>0</v>
      </c>
      <c r="EN33" s="152">
        <f>'Modèle principal'!G21</f>
        <v>0</v>
      </c>
      <c r="EO33" s="152">
        <f>'Modèle principal'!H21</f>
        <v>0</v>
      </c>
      <c r="EP33" s="152">
        <f>'Modèle principal'!I21</f>
        <v>0</v>
      </c>
      <c r="EQ33" s="152">
        <f>'Modèle principal'!J21</f>
        <v>0</v>
      </c>
      <c r="ER33" s="152">
        <f>'Modèle principal'!K21</f>
        <v>0</v>
      </c>
      <c r="ES33" s="152">
        <f>'Modèle principal'!L21</f>
        <v>0</v>
      </c>
      <c r="ET33" s="152">
        <f>'Modèle principal'!M21</f>
        <v>0</v>
      </c>
      <c r="EU33" s="152">
        <f>'Modèle principal'!N21</f>
        <v>0</v>
      </c>
      <c r="EV33" s="152">
        <f>'Modèle principal'!O21</f>
        <v>0</v>
      </c>
      <c r="EW33" s="152">
        <f>'Modèle principal'!P21</f>
        <v>0</v>
      </c>
      <c r="EX33" s="152">
        <f>'Modèle principal'!Q21</f>
        <v>0</v>
      </c>
      <c r="EY33" s="152">
        <f>'Modèle principal'!R21</f>
        <v>0</v>
      </c>
      <c r="EZ33" s="152">
        <f>'Modèle principal'!S21</f>
        <v>0.8</v>
      </c>
      <c r="FA33" s="152">
        <f>'Modèle principal'!T21</f>
        <v>0</v>
      </c>
      <c r="FB33" s="152">
        <f>'Modèle principal'!U21</f>
        <v>0</v>
      </c>
      <c r="FC33" s="152">
        <f>'Modèle principal'!V21</f>
        <v>0</v>
      </c>
      <c r="FD33" s="152">
        <f>'Modèle principal'!W21</f>
        <v>0</v>
      </c>
      <c r="FE33" s="152">
        <f>'Modèle principal'!X21</f>
        <v>0</v>
      </c>
      <c r="FF33" s="152">
        <f>'Modèle principal'!Y21</f>
        <v>0</v>
      </c>
      <c r="FG33" s="152">
        <f>'Modèle principal'!Z21</f>
        <v>0</v>
      </c>
      <c r="FH33" s="152">
        <f>'Modèle principal'!AA21</f>
        <v>0</v>
      </c>
    </row>
    <row r="34" spans="3:164" ht="16.44">
      <c r="C34" s="444" t="str">
        <f>'Profils de colonie'!B58</f>
        <v>N : Essaim sur cadres, 5 cadres d’abeilles, 3 cadres de couvain, installé le 1er avril</v>
      </c>
      <c r="D34" s="444"/>
      <c r="E34" s="444"/>
      <c r="F34" s="444"/>
      <c r="G34" s="444"/>
      <c r="H34" s="444"/>
      <c r="I34" s="444"/>
      <c r="J34" s="444"/>
      <c r="K34" s="444"/>
      <c r="L34" s="444"/>
      <c r="M34" s="444"/>
      <c r="N34" s="444"/>
      <c r="AG34" s="126"/>
      <c r="BA34" s="303">
        <f>D24</f>
        <v>0</v>
      </c>
      <c r="BB34" s="6" t="s">
        <v>145</v>
      </c>
      <c r="BC34"/>
      <c r="BP34" s="269">
        <f t="shared" si="72"/>
        <v>5.0000000000000001E-3</v>
      </c>
      <c r="BQ34" s="50">
        <f t="shared" si="73"/>
        <v>5.0000000000000001E-3</v>
      </c>
      <c r="BR34" s="163" t="s">
        <v>146</v>
      </c>
      <c r="BW34">
        <f>1160*EXP(BW33*45)</f>
        <v>2999.1430600487124</v>
      </c>
      <c r="BZ34" s="77">
        <f>12/17*BZ33+5/17*BW38</f>
        <v>3.823810493859249E-2</v>
      </c>
      <c r="CA34" s="5" t="s">
        <v>147</v>
      </c>
      <c r="CB34"/>
      <c r="CC34"/>
      <c r="CD34"/>
      <c r="CE34" s="31"/>
      <c r="CF34" s="31"/>
      <c r="CI34"/>
      <c r="CJ34"/>
      <c r="CK34" s="23"/>
      <c r="CS34" s="12"/>
      <c r="CT34" s="365"/>
      <c r="CU34" s="365"/>
      <c r="CV34" s="365"/>
      <c r="CW34" s="365"/>
      <c r="CX34" s="163"/>
      <c r="CY34" s="5"/>
      <c r="CZ34" s="352"/>
      <c r="DF34" s="13"/>
      <c r="DG34" s="13"/>
      <c r="DH34" s="13"/>
      <c r="DI34" s="13"/>
      <c r="DJ34" s="13"/>
      <c r="DK34" s="13"/>
      <c r="DL34" s="13"/>
      <c r="DM34" s="25"/>
      <c r="DY34" s="463"/>
      <c r="DZ34" s="463"/>
      <c r="EA34" s="463"/>
      <c r="EB34" s="463"/>
      <c r="EJ34" s="2">
        <f t="shared" ref="EJ34:EJ57" si="74">BA5</f>
        <v>40544</v>
      </c>
      <c r="EK34" s="129">
        <f>DF5</f>
        <v>100</v>
      </c>
      <c r="EL34" s="13">
        <f>EK34*(1-EK$33)*EXP($BW$39*15)</f>
        <v>92.756896881832787</v>
      </c>
      <c r="EM34" s="13">
        <f t="shared" ref="EM34:FB49" si="75">EL34*(1-EL$33)*EXP($BW$39*15)</f>
        <v>86.038419191469615</v>
      </c>
      <c r="EN34" s="13">
        <f t="shared" si="75"/>
        <v>79.806567768190504</v>
      </c>
      <c r="EO34" s="13">
        <f t="shared" si="75"/>
        <v>74.026095769670462</v>
      </c>
      <c r="EP34" s="131">
        <f t="shared" si="75"/>
        <v>68.664309318720015</v>
      </c>
      <c r="EQ34" s="131">
        <f t="shared" si="75"/>
        <v>63.690882589387826</v>
      </c>
      <c r="ER34" s="131">
        <f t="shared" si="75"/>
        <v>59.077686286567655</v>
      </c>
      <c r="ES34" s="131">
        <f t="shared" si="75"/>
        <v>54.798628549004228</v>
      </c>
      <c r="ET34" s="131">
        <f t="shared" si="75"/>
        <v>50.829507375858434</v>
      </c>
      <c r="EU34" s="131">
        <f t="shared" si="75"/>
        <v>47.147873742168599</v>
      </c>
      <c r="EV34" s="131">
        <f t="shared" si="75"/>
        <v>43.732904629000046</v>
      </c>
      <c r="EW34" s="131">
        <f t="shared" si="75"/>
        <v>40.565285250151852</v>
      </c>
      <c r="EX34" s="131">
        <f t="shared" si="75"/>
        <v>37.627099809304681</v>
      </c>
      <c r="EY34" s="131">
        <f t="shared" si="75"/>
        <v>34.901730169741043</v>
      </c>
      <c r="EZ34" s="131">
        <f t="shared" si="75"/>
        <v>32.373761863522219</v>
      </c>
      <c r="FA34" s="131">
        <f t="shared" si="75"/>
        <v>6.0057793817034808</v>
      </c>
      <c r="FB34" s="131">
        <f t="shared" si="75"/>
        <v>5.5707745880370725</v>
      </c>
      <c r="FC34" s="131">
        <f t="shared" ref="FC34:FH49" si="76">FB34*(1-FB$33)*EXP($BW$39*15)</f>
        <v>5.1672776401448921</v>
      </c>
      <c r="FD34" s="131">
        <f t="shared" si="76"/>
        <v>4.7930063922672002</v>
      </c>
      <c r="FE34" s="131">
        <f t="shared" si="76"/>
        <v>4.4458439968149408</v>
      </c>
      <c r="FF34" s="131">
        <f t="shared" si="76"/>
        <v>4.123826931652788</v>
      </c>
      <c r="FG34" s="131">
        <f t="shared" si="76"/>
        <v>3.8251338945784257</v>
      </c>
      <c r="FH34" s="131">
        <f t="shared" si="76"/>
        <v>3.5480755021861445</v>
      </c>
    </row>
    <row r="35" spans="3:164" ht="16.44">
      <c r="C35" s="460" t="str">
        <f>'Profils de colonie'!B86</f>
        <v>P : Colonie constituée d’un paquet d’abeilles d’environ 1,36 kg (3 lb dans l’original), installé sur des rayons bâtis et bien nourri</v>
      </c>
      <c r="D35" s="460"/>
      <c r="E35" s="460"/>
      <c r="F35" s="460"/>
      <c r="G35" s="460"/>
      <c r="H35" s="460"/>
      <c r="I35" s="460"/>
      <c r="J35" s="460"/>
      <c r="K35" s="460"/>
      <c r="L35" s="460"/>
      <c r="M35" s="460"/>
      <c r="N35" s="460"/>
      <c r="BC35" s="374"/>
      <c r="BP35" s="269">
        <f t="shared" si="72"/>
        <v>5.0000000000000001E-3</v>
      </c>
      <c r="BQ35" s="50">
        <f t="shared" si="73"/>
        <v>5.0000000000000001E-3</v>
      </c>
      <c r="BR35" s="163" t="s">
        <v>148</v>
      </c>
      <c r="BX35"/>
      <c r="BY35"/>
      <c r="CB35"/>
      <c r="CC35"/>
      <c r="CD35"/>
      <c r="CE35" s="31"/>
      <c r="CF35" s="31"/>
      <c r="CI35"/>
      <c r="CJ35"/>
      <c r="CK35" s="23"/>
      <c r="CS35" s="12"/>
      <c r="CT35" s="365"/>
      <c r="CU35" s="365"/>
      <c r="CV35" s="365"/>
      <c r="CW35" s="365"/>
      <c r="CX35" s="163"/>
      <c r="CY35" s="5"/>
      <c r="CZ35" s="352"/>
      <c r="DF35" s="13"/>
      <c r="DG35" s="13"/>
      <c r="DH35" s="13"/>
      <c r="DI35" s="13"/>
      <c r="DJ35" s="13"/>
      <c r="DK35" s="13"/>
      <c r="DL35" s="13"/>
      <c r="DM35" s="25"/>
      <c r="DY35" s="463"/>
      <c r="DZ35" s="463"/>
      <c r="EA35" s="463"/>
      <c r="EB35" s="463"/>
      <c r="EJ35" s="2">
        <f t="shared" si="74"/>
        <v>40558</v>
      </c>
      <c r="EL35" s="129">
        <f>EJ6</f>
        <v>15.609319551891964</v>
      </c>
      <c r="EM35" s="13">
        <f t="shared" si="75"/>
        <v>14.478720440704192</v>
      </c>
      <c r="EN35" s="13">
        <f t="shared" si="75"/>
        <v>13.430011788992832</v>
      </c>
      <c r="EO35" s="13">
        <f t="shared" si="75"/>
        <v>12.457262186334068</v>
      </c>
      <c r="EP35" s="13">
        <f t="shared" si="75"/>
        <v>11.55496984047744</v>
      </c>
      <c r="EQ35" s="131">
        <f t="shared" si="75"/>
        <v>10.718031459658537</v>
      </c>
      <c r="ER35" s="131">
        <f>EQ35*(1-EQ$33)*EXP($BW$39*15)</f>
        <v>9.9417133887978668</v>
      </c>
      <c r="ES35" s="131">
        <f t="shared" si="75"/>
        <v>9.2216248363346018</v>
      </c>
      <c r="ET35" s="131">
        <f t="shared" si="75"/>
        <v>8.5536930402683673</v>
      </c>
      <c r="EU35" s="131">
        <f t="shared" si="75"/>
        <v>7.9341402329502371</v>
      </c>
      <c r="EV35" s="131">
        <f t="shared" si="75"/>
        <v>7.359462274337659</v>
      </c>
      <c r="EW35" s="131">
        <f t="shared" si="75"/>
        <v>6.8264088328647681</v>
      </c>
      <c r="EX35" s="131">
        <f t="shared" si="75"/>
        <v>6.3319650018326978</v>
      </c>
      <c r="EY35" s="131">
        <f t="shared" si="75"/>
        <v>5.8733342473436965</v>
      </c>
      <c r="EZ35" s="131">
        <f t="shared" si="75"/>
        <v>5.4479225913339624</v>
      </c>
      <c r="FA35" s="131">
        <f t="shared" si="75"/>
        <v>1.0106647880491431</v>
      </c>
      <c r="FB35" s="131">
        <f t="shared" si="75"/>
        <v>0.93746129527173749</v>
      </c>
      <c r="FC35" s="131">
        <f t="shared" si="76"/>
        <v>0.86956000696229951</v>
      </c>
      <c r="FD35" s="131">
        <f t="shared" si="76"/>
        <v>0.80657687898367814</v>
      </c>
      <c r="FE35" s="131">
        <f t="shared" si="76"/>
        <v>0.74815568391159548</v>
      </c>
      <c r="FF35" s="131">
        <f t="shared" si="76"/>
        <v>0.6939659962414495</v>
      </c>
      <c r="FG35" s="131">
        <f t="shared" si="76"/>
        <v>0.64370132352866494</v>
      </c>
      <c r="FH35" s="131">
        <f t="shared" si="76"/>
        <v>0.59707737289247653</v>
      </c>
    </row>
    <row r="36" spans="3:164" ht="16.44">
      <c r="C36" s="350" t="str">
        <f>'Profils de colonie'!B114</f>
        <v>A : Colonie subtropicale, climat sec ; pas de rupture hivernale de couvain — sud de la Californie</v>
      </c>
      <c r="D36" s="350"/>
      <c r="E36" s="350"/>
      <c r="F36" s="350"/>
      <c r="G36" s="350"/>
      <c r="H36" s="350"/>
      <c r="I36" s="350"/>
      <c r="J36" s="350"/>
      <c r="K36" s="350"/>
      <c r="L36" s="328"/>
      <c r="M36" s="329"/>
      <c r="N36" s="330"/>
      <c r="AH36" s="405" t="s">
        <v>149</v>
      </c>
      <c r="AI36" s="405"/>
      <c r="AJ36" s="405"/>
      <c r="AK36" s="405"/>
      <c r="AL36" s="405"/>
      <c r="AM36" s="405"/>
      <c r="AN36" s="405"/>
      <c r="AO36" s="405"/>
      <c r="AP36" s="405"/>
      <c r="AQ36" s="405"/>
      <c r="AR36" s="405"/>
      <c r="AS36" s="405"/>
      <c r="AT36" s="405"/>
      <c r="AU36" s="405"/>
      <c r="AV36" s="405"/>
      <c r="AW36" s="405"/>
      <c r="AX36" s="405"/>
      <c r="AY36" s="405"/>
      <c r="AZ36" s="405"/>
      <c r="BC36"/>
      <c r="BO36" s="49"/>
      <c r="BP36" s="239">
        <f t="shared" si="72"/>
        <v>0.6</v>
      </c>
      <c r="BQ36" s="136">
        <f t="shared" si="73"/>
        <v>0.6</v>
      </c>
      <c r="BR36" s="163" t="s">
        <v>150</v>
      </c>
      <c r="CB36"/>
      <c r="CC36"/>
      <c r="CE36" s="31"/>
      <c r="CF36" s="31"/>
      <c r="CI36"/>
      <c r="CJ36"/>
      <c r="CK36" s="23"/>
      <c r="CS36" s="12"/>
      <c r="CT36" s="365"/>
      <c r="CU36" s="365"/>
      <c r="CV36" s="365"/>
      <c r="CW36" s="365"/>
      <c r="CX36" s="163"/>
      <c r="CY36" s="5"/>
      <c r="DF36" s="13"/>
      <c r="DG36" s="13"/>
      <c r="DH36" s="13"/>
      <c r="DI36" s="13"/>
      <c r="DJ36" s="13"/>
      <c r="DK36" s="13"/>
      <c r="DL36" s="13"/>
      <c r="DM36" s="25"/>
      <c r="EJ36" s="2">
        <f t="shared" si="74"/>
        <v>40575</v>
      </c>
      <c r="EM36" s="129">
        <f>EJ7</f>
        <v>35.782676229362181</v>
      </c>
      <c r="EN36" s="13">
        <f t="shared" si="75"/>
        <v>33.190900091629572</v>
      </c>
      <c r="EO36" s="13">
        <f t="shared" si="75"/>
        <v>30.786848972144984</v>
      </c>
      <c r="EP36" s="13">
        <f t="shared" si="75"/>
        <v>28.556925754258121</v>
      </c>
      <c r="EQ36" s="13">
        <f t="shared" si="75"/>
        <v>26.488518174498754</v>
      </c>
      <c r="ER36" s="131">
        <f t="shared" si="75"/>
        <v>24.569927488645344</v>
      </c>
      <c r="ES36" s="131">
        <f t="shared" si="75"/>
        <v>22.79030230458385</v>
      </c>
      <c r="ET36" s="131">
        <f t="shared" si="75"/>
        <v>21.139577207720802</v>
      </c>
      <c r="EU36" s="131">
        <f t="shared" si="75"/>
        <v>19.608415831821009</v>
      </c>
      <c r="EV36" s="131">
        <f t="shared" si="75"/>
        <v>18.188158053283189</v>
      </c>
      <c r="EW36" s="131">
        <f t="shared" si="75"/>
        <v>16.870771010188651</v>
      </c>
      <c r="EX36" s="131">
        <f t="shared" si="75"/>
        <v>15.648803669090826</v>
      </c>
      <c r="EY36" s="131">
        <f t="shared" si="75"/>
        <v>14.515344682579043</v>
      </c>
      <c r="EZ36" s="131">
        <f t="shared" si="75"/>
        <v>13.463983299262441</v>
      </c>
      <c r="FA36" s="131">
        <f t="shared" si="75"/>
        <v>2.4977546210168096</v>
      </c>
      <c r="FB36" s="131">
        <f t="shared" si="75"/>
        <v>2.3168396781777751</v>
      </c>
      <c r="FC36" s="131">
        <f t="shared" si="76"/>
        <v>2.1490285912047455</v>
      </c>
      <c r="FD36" s="131">
        <f t="shared" si="76"/>
        <v>1.9933722343048896</v>
      </c>
      <c r="FE36" s="131">
        <f t="shared" si="76"/>
        <v>1.8489902278452728</v>
      </c>
      <c r="FF36" s="131">
        <f t="shared" si="76"/>
        <v>1.7150659589976047</v>
      </c>
      <c r="FG36" s="131">
        <f t="shared" si="76"/>
        <v>1.5908419630428248</v>
      </c>
      <c r="FH36" s="131">
        <f t="shared" si="76"/>
        <v>1.4756156392125575</v>
      </c>
    </row>
    <row r="37" spans="3:164" ht="16.19" customHeight="1">
      <c r="C37" s="460" t="str">
        <f>'Profils de colonie'!B142</f>
        <v>B : Colonie de haute latitude — été court et longue rupture hivernale de couvain</v>
      </c>
      <c r="D37" s="460"/>
      <c r="E37" s="460"/>
      <c r="F37" s="460"/>
      <c r="G37" s="460"/>
      <c r="H37" s="460"/>
      <c r="I37" s="460"/>
      <c r="J37" s="460"/>
      <c r="K37" s="460"/>
      <c r="L37" s="460"/>
      <c r="M37" s="460"/>
      <c r="N37" s="460"/>
      <c r="AH37" s="268" t="s">
        <v>151</v>
      </c>
      <c r="BC37"/>
      <c r="BQ37">
        <v>15.208333333333334</v>
      </c>
      <c r="BR37" s="163" t="s">
        <v>152</v>
      </c>
      <c r="BV37" t="s">
        <v>14</v>
      </c>
      <c r="CB37"/>
      <c r="CC37"/>
      <c r="CE37" s="31"/>
      <c r="CF37" s="31"/>
      <c r="CI37"/>
      <c r="CJ37"/>
      <c r="CK37" s="23"/>
      <c r="CR37" s="31"/>
      <c r="CS37" s="12"/>
      <c r="CT37" s="365"/>
      <c r="CU37" s="365"/>
      <c r="CV37" s="365"/>
      <c r="CW37" s="365"/>
      <c r="CX37" s="163"/>
      <c r="CY37" s="5"/>
      <c r="DF37" s="13"/>
      <c r="DG37" s="13"/>
      <c r="DH37" s="13"/>
      <c r="DI37" s="13"/>
      <c r="DJ37" s="13"/>
      <c r="DK37" s="13"/>
      <c r="DL37" s="13"/>
      <c r="DM37" s="25"/>
      <c r="EJ37" s="2">
        <f t="shared" si="74"/>
        <v>40589</v>
      </c>
      <c r="EN37" s="129">
        <f>EJ8</f>
        <v>55.543202415448647</v>
      </c>
      <c r="EO37" s="13">
        <f t="shared" si="75"/>
        <v>51.520150989365355</v>
      </c>
      <c r="EP37" s="13">
        <f t="shared" si="75"/>
        <v>47.788493326570176</v>
      </c>
      <c r="EQ37" s="13">
        <f t="shared" si="75"/>
        <v>44.327123476308238</v>
      </c>
      <c r="ER37" s="13">
        <f t="shared" si="75"/>
        <v>41.116464213601922</v>
      </c>
      <c r="ES37" s="131">
        <f t="shared" si="75"/>
        <v>38.138356312066414</v>
      </c>
      <c r="ET37" s="131">
        <f t="shared" si="75"/>
        <v>35.37595583680941</v>
      </c>
      <c r="EU37" s="131">
        <f t="shared" si="75"/>
        <v>32.813638876512009</v>
      </c>
      <c r="EV37" s="131">
        <f t="shared" si="75"/>
        <v>30.436913175863239</v>
      </c>
      <c r="EW37" s="131">
        <f t="shared" si="75"/>
        <v>28.232336168548439</v>
      </c>
      <c r="EX37" s="131">
        <f t="shared" si="75"/>
        <v>26.187438947192856</v>
      </c>
      <c r="EY37" s="131">
        <f t="shared" si="75"/>
        <v>24.290655740240595</v>
      </c>
      <c r="EZ37" s="131">
        <f t="shared" si="75"/>
        <v>22.531258496895965</v>
      </c>
      <c r="FA37" s="131">
        <f t="shared" si="75"/>
        <v>4.1798592420289946</v>
      </c>
      <c r="FB37" s="131">
        <f t="shared" si="75"/>
        <v>3.8771077269345922</v>
      </c>
      <c r="FC37" s="131">
        <f t="shared" si="76"/>
        <v>3.5962848162702907</v>
      </c>
      <c r="FD37" s="131">
        <f t="shared" si="76"/>
        <v>3.3358021986048434</v>
      </c>
      <c r="FE37" s="131">
        <f t="shared" si="76"/>
        <v>3.0941866055418052</v>
      </c>
      <c r="FF37" s="131">
        <f t="shared" si="76"/>
        <v>2.8700714790338946</v>
      </c>
      <c r="FG37" s="131">
        <f t="shared" si="76"/>
        <v>2.6621892422423628</v>
      </c>
      <c r="FH37" s="131">
        <f t="shared" si="76"/>
        <v>2.4693641302259941</v>
      </c>
    </row>
    <row r="38" spans="3:164" ht="16.19" customHeight="1">
      <c r="C38" s="444" t="str">
        <f>'Profils de colonie'!B170</f>
        <v>C : colonie californienne sur 8 cadres utilisée pour les amandiers, dont des abeilles sont prélevées par secouage deux fois en avril. Saisir un « traitement » de 25 % en avril pour tenir compte des varroas emportés avec ces abeilles.</v>
      </c>
      <c r="D38" s="444"/>
      <c r="E38" s="444"/>
      <c r="F38" s="444"/>
      <c r="G38" s="444"/>
      <c r="H38" s="444"/>
      <c r="I38" s="444"/>
      <c r="J38" s="444"/>
      <c r="K38" s="444"/>
      <c r="L38" s="444"/>
      <c r="M38" s="444"/>
      <c r="N38" s="444"/>
      <c r="AH38" s="6" t="s">
        <v>153</v>
      </c>
      <c r="AI38" s="352"/>
      <c r="BC38" s="374"/>
      <c r="BG38" s="54"/>
      <c r="BW38" s="72">
        <f>LN(1-BQ34)</f>
        <v>-5.0125418235442863E-3</v>
      </c>
      <c r="BX38" s="352" t="s">
        <v>154</v>
      </c>
      <c r="CE38" s="24"/>
      <c r="CF38" s="24"/>
      <c r="CI38"/>
      <c r="CJ38"/>
      <c r="CK38" s="23"/>
      <c r="CR38" s="31"/>
      <c r="CS38" s="12"/>
      <c r="CT38" s="365"/>
      <c r="CU38" s="365"/>
      <c r="CV38" s="365"/>
      <c r="CW38" s="365"/>
      <c r="CX38" s="163"/>
      <c r="CY38" s="5"/>
      <c r="DM38" s="25"/>
      <c r="EJ38" s="2">
        <f t="shared" si="74"/>
        <v>40603</v>
      </c>
      <c r="EO38" s="129">
        <f>EJ9</f>
        <v>76.617436997591824</v>
      </c>
      <c r="EP38" s="13">
        <f>EO38*(1-EO$33)*EXP($BW$39*15)</f>
        <v>71.067957029359448</v>
      </c>
      <c r="EQ38" s="13">
        <f t="shared" si="75"/>
        <v>65.920431617748179</v>
      </c>
      <c r="ER38" s="13">
        <f t="shared" si="75"/>
        <v>61.14574677973377</v>
      </c>
      <c r="ES38" s="13">
        <f t="shared" si="75"/>
        <v>56.716897288104242</v>
      </c>
      <c r="ET38" s="131">
        <f t="shared" si="75"/>
        <v>52.608833932101867</v>
      </c>
      <c r="EU38" s="131">
        <f t="shared" si="75"/>
        <v>48.798321841134381</v>
      </c>
      <c r="EV38" s="131">
        <f t="shared" si="75"/>
        <v>45.263809070245905</v>
      </c>
      <c r="EW38" s="131">
        <f t="shared" si="75"/>
        <v>41.98530470407767</v>
      </c>
      <c r="EX38" s="131">
        <f t="shared" si="75"/>
        <v>38.944265789884611</v>
      </c>
      <c r="EY38" s="131">
        <f t="shared" si="75"/>
        <v>36.12349246011015</v>
      </c>
      <c r="EZ38" s="131">
        <f t="shared" si="75"/>
        <v>33.507030651341012</v>
      </c>
      <c r="FA38" s="131">
        <f t="shared" si="75"/>
        <v>6.2160163738856964</v>
      </c>
      <c r="FB38" s="131">
        <f t="shared" si="75"/>
        <v>5.7657838980829972</v>
      </c>
      <c r="FC38" s="131">
        <f t="shared" si="76"/>
        <v>5.348162224774164</v>
      </c>
      <c r="FD38" s="131">
        <f t="shared" si="76"/>
        <v>4.9607893199069055</v>
      </c>
      <c r="FE38" s="131">
        <f t="shared" si="76"/>
        <v>4.6014742339910226</v>
      </c>
      <c r="FF38" s="131">
        <f t="shared" si="76"/>
        <v>4.2681847102671577</v>
      </c>
      <c r="FG38" s="131">
        <f t="shared" si="76"/>
        <v>3.959035690428661</v>
      </c>
      <c r="FH38" s="131">
        <f t="shared" si="76"/>
        <v>3.6722786528858697</v>
      </c>
    </row>
    <row r="39" spans="3:164" ht="16.19" customHeight="1">
      <c r="C39" s="444"/>
      <c r="D39" s="444"/>
      <c r="E39" s="444"/>
      <c r="F39" s="444"/>
      <c r="G39" s="444"/>
      <c r="H39" s="444"/>
      <c r="I39" s="444"/>
      <c r="J39" s="444"/>
      <c r="K39" s="444"/>
      <c r="L39" s="444"/>
      <c r="M39" s="444"/>
      <c r="N39" s="444"/>
      <c r="AH39" s="406"/>
      <c r="AI39" s="407"/>
      <c r="AJ39" t="s">
        <v>155</v>
      </c>
      <c r="BC39" s="374"/>
      <c r="BE39" t="s">
        <v>14</v>
      </c>
      <c r="BH39" s="56"/>
      <c r="BW39" s="72">
        <f>LN(1-BQ35)</f>
        <v>-5.0125418235442863E-3</v>
      </c>
      <c r="BX39" s="352" t="s">
        <v>156</v>
      </c>
      <c r="CE39" s="24"/>
      <c r="CF39" s="24"/>
      <c r="CH39" s="47"/>
      <c r="CI39"/>
      <c r="CJ39"/>
      <c r="CK39" s="23"/>
      <c r="CR39" s="31"/>
      <c r="CS39" s="12"/>
      <c r="CT39" s="365"/>
      <c r="CU39" s="365"/>
      <c r="CV39" s="365"/>
      <c r="CW39" s="365"/>
      <c r="CX39" s="163"/>
      <c r="CY39" s="5"/>
      <c r="DM39" s="25"/>
      <c r="EJ39" s="2">
        <f t="shared" si="74"/>
        <v>40617</v>
      </c>
      <c r="EP39" s="129">
        <f>EJ10</f>
        <v>133.61866548506168</v>
      </c>
      <c r="EQ39" s="13">
        <f t="shared" si="75"/>
        <v>123.94052775885976</v>
      </c>
      <c r="ER39" s="13">
        <f t="shared" si="75"/>
        <v>114.96338752808488</v>
      </c>
      <c r="ES39" s="13">
        <f t="shared" si="75"/>
        <v>106.6364708212875</v>
      </c>
      <c r="ET39" s="13">
        <f t="shared" si="75"/>
        <v>98.912681278127351</v>
      </c>
      <c r="EU39" s="131">
        <f t="shared" si="75"/>
        <v>91.748333776208511</v>
      </c>
      <c r="EV39" s="131">
        <f t="shared" si="75"/>
        <v>85.102907351597494</v>
      </c>
      <c r="EW39" s="131">
        <f t="shared" si="75"/>
        <v>78.938816015562978</v>
      </c>
      <c r="EX39" s="131">
        <f t="shared" si="75"/>
        <v>73.22119617129546</v>
      </c>
      <c r="EY39" s="131">
        <f t="shared" si="75"/>
        <v>67.917709428253019</v>
      </c>
      <c r="EZ39" s="131">
        <f t="shared" si="75"/>
        <v>62.998359698867475</v>
      </c>
      <c r="FA39" s="131">
        <f t="shared" si="75"/>
        <v>11.687064708624918</v>
      </c>
      <c r="FB39" s="131">
        <f t="shared" si="75"/>
        <v>10.840558560292287</v>
      </c>
      <c r="FC39" s="131">
        <f t="shared" si="76"/>
        <v>10.055365725185013</v>
      </c>
      <c r="FD39" s="131">
        <f t="shared" si="76"/>
        <v>9.3270452168010198</v>
      </c>
      <c r="FE39" s="131">
        <f t="shared" si="76"/>
        <v>8.6514777138700385</v>
      </c>
      <c r="FF39" s="131">
        <f t="shared" si="76"/>
        <v>8.0248422618091766</v>
      </c>
      <c r="FG39" s="131">
        <f t="shared" si="76"/>
        <v>7.4435946617160758</v>
      </c>
      <c r="FH39" s="131">
        <f t="shared" si="76"/>
        <v>6.9044474246695904</v>
      </c>
    </row>
    <row r="40" spans="3:164" ht="16.19" customHeight="1">
      <c r="C40" s="444" t="str">
        <f>'Profils de colonie'!B198</f>
        <v>R : Ruches californiennes de Randy, divisées en 4 après la floraison des amandiers et traitées à l’acide oxalique (saisissez une réduction totale des varroas de 90 % au 1er avril, correspondant à la division en 4, au traitement oxalique et au retrait du cadre de mâles)</v>
      </c>
      <c r="D40" s="444"/>
      <c r="E40" s="444"/>
      <c r="F40" s="444"/>
      <c r="G40" s="444"/>
      <c r="H40" s="444"/>
      <c r="I40" s="444"/>
      <c r="J40" s="444"/>
      <c r="K40" s="444"/>
      <c r="L40" s="444"/>
      <c r="M40" s="444"/>
      <c r="N40" s="444"/>
      <c r="AH40" s="361" t="str">
        <f>IF($AH$39="","V","")</f>
        <v>V</v>
      </c>
      <c r="AI40" s="361" t="str">
        <f>IF($AH$39="custom","V","")</f>
        <v/>
      </c>
      <c r="AJ40" s="100" t="str">
        <f>IF($AH$39="","Les valeurs par défaut en bleu s’appliquent — saisissez « custom » dans la cellule verte pour les modifier",IF(AH39="custom","Les valeurs personnalisées s’appliquent — remarquez les effets considérables de très faibles modifications de certaines variables !","Erreur"))</f>
        <v>Les valeurs par défaut en bleu s’appliquent — saisissez « custom » dans la cellule verte pour les modifier</v>
      </c>
      <c r="AZ40" t="s">
        <v>157</v>
      </c>
      <c r="BC40" s="374"/>
      <c r="BH40" s="56"/>
      <c r="BP40" s="240">
        <f>AH50</f>
        <v>0.05</v>
      </c>
      <c r="BQ40" s="136">
        <f>IF($AH$39="custom",AI50,IF($AH$39="",BP40,"erreur"))</f>
        <v>0.05</v>
      </c>
      <c r="BR40" s="163" t="s">
        <v>158</v>
      </c>
      <c r="CE40" s="31"/>
      <c r="CF40" s="31"/>
      <c r="CI40" s="16"/>
      <c r="CJ40" s="16"/>
      <c r="CK40" s="32"/>
      <c r="CR40" s="31"/>
      <c r="CS40" s="12"/>
      <c r="CT40" s="365"/>
      <c r="CU40" s="365"/>
      <c r="CV40" s="365"/>
      <c r="CW40" s="365"/>
      <c r="CX40" s="163"/>
      <c r="CY40" s="5"/>
      <c r="DM40" s="25"/>
      <c r="EJ40" s="2">
        <f t="shared" si="74"/>
        <v>40634</v>
      </c>
      <c r="EQ40" s="129">
        <f>EJ11</f>
        <v>239.45865632138995</v>
      </c>
      <c r="ER40" s="13">
        <f t="shared" si="75"/>
        <v>222.11441891865405</v>
      </c>
      <c r="ES40" s="13">
        <f t="shared" si="75"/>
        <v>206.02644251605804</v>
      </c>
      <c r="ET40" s="13">
        <f t="shared" si="75"/>
        <v>191.10373483392846</v>
      </c>
      <c r="EU40" s="13">
        <f t="shared" si="75"/>
        <v>177.26189425723817</v>
      </c>
      <c r="EV40" s="131">
        <f t="shared" si="75"/>
        <v>164.42263246696987</v>
      </c>
      <c r="EW40" s="131">
        <f t="shared" si="75"/>
        <v>152.51333164778217</v>
      </c>
      <c r="EX40" s="131">
        <f t="shared" si="75"/>
        <v>141.46663376758096</v>
      </c>
      <c r="EY40" s="131">
        <f t="shared" si="75"/>
        <v>131.22005960599512</v>
      </c>
      <c r="EZ40" s="131">
        <f t="shared" si="75"/>
        <v>121.71565537701241</v>
      </c>
      <c r="FA40" s="131">
        <f t="shared" si="75"/>
        <v>22.579932989420467</v>
      </c>
      <c r="FB40" s="131">
        <f t="shared" si="75"/>
        <v>20.944445158983687</v>
      </c>
      <c r="FC40" s="131">
        <f t="shared" si="76"/>
        <v>19.427417398590517</v>
      </c>
      <c r="FD40" s="131">
        <f t="shared" si="76"/>
        <v>18.020269523213848</v>
      </c>
      <c r="FE40" s="131">
        <f t="shared" si="76"/>
        <v>16.715042819475808</v>
      </c>
      <c r="FF40" s="131">
        <f t="shared" si="76"/>
        <v>15.50435503181537</v>
      </c>
      <c r="FG40" s="131">
        <f t="shared" si="76"/>
        <v>14.381358609054235</v>
      </c>
      <c r="FH40" s="131">
        <f t="shared" si="76"/>
        <v>13.339701975207019</v>
      </c>
    </row>
    <row r="41" spans="3:164" ht="16" customHeight="1">
      <c r="C41" s="444"/>
      <c r="D41" s="444"/>
      <c r="E41" s="444"/>
      <c r="F41" s="444"/>
      <c r="G41" s="444"/>
      <c r="H41" s="444"/>
      <c r="I41" s="444"/>
      <c r="J41" s="444"/>
      <c r="K41" s="444"/>
      <c r="L41" s="444"/>
      <c r="M41" s="444"/>
      <c r="N41" s="444"/>
      <c r="AH41" s="96">
        <v>1.45</v>
      </c>
      <c r="AI41" s="237">
        <v>0.72499999999999998</v>
      </c>
      <c r="AJ41" s="163" t="s">
        <v>159</v>
      </c>
      <c r="AY41" s="412" t="s">
        <v>14</v>
      </c>
      <c r="AZ41" s="412"/>
      <c r="BA41" s="408">
        <f>IF(AH39="custom", AI41*AI42,AH41*AH42)</f>
        <v>1.0149999999999999</v>
      </c>
      <c r="BB41" s="429" t="s">
        <v>160</v>
      </c>
      <c r="BC41" s="430"/>
      <c r="BD41" s="430"/>
      <c r="BE41" s="430"/>
      <c r="BF41" s="430"/>
      <c r="BG41" s="430"/>
      <c r="BH41" s="430"/>
      <c r="BI41" s="430"/>
      <c r="BJ41" s="430"/>
      <c r="BK41" s="431"/>
      <c r="CE41" s="31"/>
      <c r="CF41" s="31"/>
      <c r="CI41"/>
      <c r="CJ41"/>
      <c r="CK41" s="23"/>
      <c r="CR41" s="31"/>
      <c r="CS41" s="12"/>
      <c r="CT41" s="365"/>
      <c r="CU41" s="365"/>
      <c r="CV41" s="365"/>
      <c r="CW41" s="365"/>
      <c r="CX41" s="163"/>
      <c r="CY41" s="5"/>
      <c r="DM41" s="25"/>
      <c r="EJ41" s="2">
        <f t="shared" si="74"/>
        <v>40648</v>
      </c>
      <c r="ER41" s="129">
        <f>EJ12</f>
        <v>363.52884483293138</v>
      </c>
      <c r="ES41" s="13">
        <f t="shared" si="75"/>
        <v>337.19807573740007</v>
      </c>
      <c r="ET41" s="13">
        <f t="shared" si="75"/>
        <v>312.7744713992646</v>
      </c>
      <c r="EU41" s="13">
        <f t="shared" si="75"/>
        <v>290.11989390851346</v>
      </c>
      <c r="EV41" s="13">
        <f t="shared" si="75"/>
        <v>269.1062108264025</v>
      </c>
      <c r="EW41" s="131">
        <f t="shared" si="75"/>
        <v>249.61457047885369</v>
      </c>
      <c r="EX41" s="131">
        <f t="shared" si="75"/>
        <v>231.53472974110014</v>
      </c>
      <c r="EY41" s="131">
        <f t="shared" si="75"/>
        <v>214.76443051158247</v>
      </c>
      <c r="EZ41" s="131">
        <f t="shared" si="75"/>
        <v>199.20882134848398</v>
      </c>
      <c r="FA41" s="131">
        <f t="shared" si="75"/>
        <v>36.955984199545547</v>
      </c>
      <c r="FB41" s="131">
        <f t="shared" si="75"/>
        <v>34.279224155638879</v>
      </c>
      <c r="FC41" s="131">
        <f t="shared" si="76"/>
        <v>31.796344601938269</v>
      </c>
      <c r="FD41" s="131">
        <f t="shared" si="76"/>
        <v>29.493302574612084</v>
      </c>
      <c r="FE41" s="131">
        <f t="shared" si="76"/>
        <v>27.357072256179865</v>
      </c>
      <c r="FF41" s="131">
        <f t="shared" si="76"/>
        <v>25.375571302553244</v>
      </c>
      <c r="FG41" s="131">
        <f t="shared" si="76"/>
        <v>23.537592506285264</v>
      </c>
      <c r="FH41" s="131">
        <f t="shared" si="76"/>
        <v>21.832740409521023</v>
      </c>
    </row>
    <row r="42" spans="3:164" ht="16" customHeight="1">
      <c r="C42" s="444" t="str">
        <f>'Profils de colonie'!B226</f>
        <v>S : colonie essaimant en mai ; saisir une réduction des varroas de 50–60 % par « traitement » le 15 mai.</v>
      </c>
      <c r="D42" s="444"/>
      <c r="E42" s="444"/>
      <c r="F42" s="444"/>
      <c r="G42" s="444"/>
      <c r="H42" s="444"/>
      <c r="I42" s="444"/>
      <c r="J42" s="444"/>
      <c r="K42" s="444"/>
      <c r="L42" s="444"/>
      <c r="M42" s="444"/>
      <c r="N42" s="444"/>
      <c r="AH42" s="90">
        <v>0.7</v>
      </c>
      <c r="AI42" s="187">
        <v>0.7</v>
      </c>
      <c r="AJ42" s="163" t="s">
        <v>161</v>
      </c>
      <c r="AX42" s="409" t="s">
        <v>14</v>
      </c>
      <c r="AY42" s="409"/>
      <c r="AZ42" s="374"/>
      <c r="BA42" s="408"/>
      <c r="BB42" s="432"/>
      <c r="BC42" s="433"/>
      <c r="BD42" s="433"/>
      <c r="BE42" s="433"/>
      <c r="BF42" s="433"/>
      <c r="BG42" s="433"/>
      <c r="BH42" s="433"/>
      <c r="BI42" s="433"/>
      <c r="BJ42" s="433"/>
      <c r="BK42" s="434"/>
      <c r="BP42" s="12">
        <v>5</v>
      </c>
      <c r="BQ42" s="50">
        <f>IF($AH$39="custom",AI49,IF($AH$39="",BP42,"erreur"))</f>
        <v>5</v>
      </c>
      <c r="BR42" t="s">
        <v>162</v>
      </c>
      <c r="CE42" s="31"/>
      <c r="CF42" s="31"/>
      <c r="CI42"/>
      <c r="CJ42"/>
      <c r="CK42" s="23"/>
      <c r="CR42" s="31"/>
      <c r="CS42" s="12"/>
      <c r="CT42" s="365"/>
      <c r="CU42" s="365"/>
      <c r="CV42" s="365"/>
      <c r="CW42" s="365"/>
      <c r="CX42" s="163"/>
      <c r="CY42" s="5"/>
      <c r="DM42" s="25"/>
      <c r="EJ42" s="2">
        <f t="shared" si="74"/>
        <v>40664</v>
      </c>
      <c r="EL42" s="130" t="s">
        <v>163</v>
      </c>
      <c r="EM42" s="130"/>
      <c r="EN42" s="130"/>
      <c r="EO42" s="130"/>
      <c r="ES42" s="129">
        <f>EJ13</f>
        <v>583.6810929610192</v>
      </c>
      <c r="ET42" s="13">
        <f t="shared" si="75"/>
        <v>541.40446951660715</v>
      </c>
      <c r="EU42" s="13">
        <f t="shared" si="75"/>
        <v>502.18998550315308</v>
      </c>
      <c r="EV42" s="13">
        <f t="shared" si="75"/>
        <v>465.81584700405074</v>
      </c>
      <c r="EW42" s="13">
        <f t="shared" si="75"/>
        <v>432.07632486478332</v>
      </c>
      <c r="EX42" s="131">
        <f t="shared" si="75"/>
        <v>400.78059110563987</v>
      </c>
      <c r="EY42" s="131">
        <f t="shared" si="75"/>
        <v>371.75163961425829</v>
      </c>
      <c r="EZ42" s="131">
        <f t="shared" si="75"/>
        <v>344.82528501352022</v>
      </c>
      <c r="FA42" s="131">
        <f t="shared" si="75"/>
        <v>63.969846808495376</v>
      </c>
      <c r="FB42" s="131">
        <f t="shared" si="75"/>
        <v>59.336444839622459</v>
      </c>
      <c r="FC42" s="131">
        <f t="shared" si="76"/>
        <v>55.038644953234197</v>
      </c>
      <c r="FD42" s="131">
        <f t="shared" si="76"/>
        <v>51.052139144429511</v>
      </c>
      <c r="FE42" s="131">
        <f t="shared" si="76"/>
        <v>47.354380062168268</v>
      </c>
      <c r="FF42" s="131">
        <f t="shared" si="76"/>
        <v>43.924453483296602</v>
      </c>
      <c r="FG42" s="131">
        <f t="shared" si="76"/>
        <v>40.742960023410035</v>
      </c>
      <c r="FH42" s="131">
        <f t="shared" si="76"/>
        <v>37.791905415520802</v>
      </c>
    </row>
    <row r="43" spans="3:164" ht="16.19" customHeight="1">
      <c r="C43" s="460" t="str">
        <f>'Profils de colonie'!B254</f>
        <v xml:space="preserve">F : colonie sauvage limitée à une cavité de 40 litres (1 corps Langstroth), essaimant deux fois</v>
      </c>
      <c r="D43" s="460"/>
      <c r="E43" s="460"/>
      <c r="F43" s="460"/>
      <c r="G43" s="460"/>
      <c r="H43" s="460"/>
      <c r="I43" s="460"/>
      <c r="J43" s="460"/>
      <c r="K43" s="460"/>
      <c r="L43" s="460"/>
      <c r="M43" s="460"/>
      <c r="N43" s="460"/>
      <c r="AH43" s="96">
        <v>3.5</v>
      </c>
      <c r="AI43" s="237">
        <v>3.5</v>
      </c>
      <c r="AJ43" s="163" t="s">
        <v>164</v>
      </c>
      <c r="AT43" s="410" t="s">
        <v>165</v>
      </c>
      <c r="AU43" s="385" t="s">
        <v>166</v>
      </c>
      <c r="AV43" s="385"/>
      <c r="AW43" s="385"/>
      <c r="AX43" s="385"/>
      <c r="AY43" s="385"/>
      <c r="BB43" s="435"/>
      <c r="BC43" s="436"/>
      <c r="BD43" s="436"/>
      <c r="BE43" s="436"/>
      <c r="BF43" s="436"/>
      <c r="BG43" s="436"/>
      <c r="BH43" s="436"/>
      <c r="BI43" s="436"/>
      <c r="BJ43" s="436"/>
      <c r="BK43" s="437"/>
      <c r="BP43" s="12">
        <v>5</v>
      </c>
      <c r="BQ43" s="50">
        <f>IF($AH$39="custom",$AI$48,IF($AH$39="",BP43,"erreur"))</f>
        <v>5</v>
      </c>
      <c r="BR43" t="s">
        <v>167</v>
      </c>
      <c r="CE43" s="31"/>
      <c r="CF43" s="31"/>
      <c r="CI43"/>
      <c r="CJ43"/>
      <c r="CK43" s="23"/>
      <c r="CR43" s="31"/>
      <c r="CS43" s="12"/>
      <c r="CT43" s="365"/>
      <c r="CU43" s="365"/>
      <c r="CV43" s="365"/>
      <c r="CW43" s="365"/>
      <c r="CX43" s="163"/>
      <c r="CY43" s="5"/>
      <c r="DM43" s="25"/>
      <c r="EJ43" s="2">
        <f t="shared" si="74"/>
        <v>40678</v>
      </c>
      <c r="ET43" s="129">
        <f>EJ14</f>
        <v>856.47072140637761</v>
      </c>
      <c r="EU43" s="13">
        <f t="shared" si="75"/>
        <v>794.43566387800297</v>
      </c>
      <c r="EV43" s="13">
        <f t="shared" si="75"/>
        <v>736.89386953582289</v>
      </c>
      <c r="EW43" s="13">
        <f t="shared" si="75"/>
        <v>683.51988669389061</v>
      </c>
      <c r="EX43" s="13">
        <f t="shared" si="75"/>
        <v>634.01183646747245</v>
      </c>
      <c r="EY43" s="131">
        <f t="shared" si="75"/>
        <v>588.08970537074777</v>
      </c>
      <c r="EZ43" s="131">
        <f t="shared" si="75"/>
        <v>545.49376158341875</v>
      </c>
      <c r="FA43" s="131">
        <f t="shared" si="75"/>
        <v>101.19661718575249</v>
      </c>
      <c r="FB43" s="131">
        <f t="shared" si="75"/>
        <v>93.866841850891504</v>
      </c>
      <c r="FC43" s="131">
        <f t="shared" si="76"/>
        <v>87.067969701864499</v>
      </c>
      <c r="FD43" s="131">
        <f t="shared" si="76"/>
        <v>80.761546873463871</v>
      </c>
      <c r="FE43" s="131">
        <f t="shared" si="76"/>
        <v>74.911904753591926</v>
      </c>
      <c r="FF43" s="131">
        <f t="shared" si="76"/>
        <v>69.485958244506051</v>
      </c>
      <c r="FG43" s="131">
        <f t="shared" si="76"/>
        <v>64.453018636209862</v>
      </c>
      <c r="FH43" s="131">
        <f t="shared" si="76"/>
        <v>59.784620033617649</v>
      </c>
    </row>
    <row r="44" spans="3:164" ht="16.19" customHeight="1">
      <c r="C44" s="444" t="s">
        <v>168</v>
      </c>
      <c r="D44" s="444"/>
      <c r="E44" s="444"/>
      <c r="F44" s="444"/>
      <c r="G44" s="444"/>
      <c r="H44" s="444"/>
      <c r="I44" s="444"/>
      <c r="J44" s="444"/>
      <c r="K44" s="444"/>
      <c r="L44" s="444"/>
      <c r="M44" s="444"/>
      <c r="N44" s="444"/>
      <c r="AH44" s="90">
        <v>0.7</v>
      </c>
      <c r="AI44" s="187">
        <v>0.7</v>
      </c>
      <c r="AJ44" s="163" t="s">
        <v>169</v>
      </c>
      <c r="AT44" s="411"/>
      <c r="AU44" s="385"/>
      <c r="AV44" s="385"/>
      <c r="AW44" s="385"/>
      <c r="AX44" s="385"/>
      <c r="AY44" s="385"/>
      <c r="BC44" s="374"/>
      <c r="BP44" s="12">
        <v>4500</v>
      </c>
      <c r="BQ44" s="50">
        <v>4500</v>
      </c>
      <c r="BR44" s="18" t="s">
        <v>170</v>
      </c>
      <c r="CE44" s="31"/>
      <c r="CF44" s="31"/>
      <c r="CI44"/>
      <c r="CJ44"/>
      <c r="CK44" s="23"/>
      <c r="CR44" s="31"/>
      <c r="CS44" s="12"/>
      <c r="CT44" s="365"/>
      <c r="CU44" s="365"/>
      <c r="CV44" s="365"/>
      <c r="CW44" s="365"/>
      <c r="CX44" s="163"/>
      <c r="CY44" s="5"/>
      <c r="DM44" s="25"/>
      <c r="EJ44" s="2">
        <f t="shared" si="74"/>
        <v>40695</v>
      </c>
      <c r="EU44" s="129">
        <f>EJ15</f>
        <v>1221.9251627273059</v>
      </c>
      <c r="EV44" s="13">
        <f t="shared" si="75"/>
        <v>1133.4198631641345</v>
      </c>
      <c r="EW44" s="13">
        <f t="shared" si="75"/>
        <v>1051.3250937133664</v>
      </c>
      <c r="EX44" s="13">
        <f t="shared" si="75"/>
        <v>975.17653306853913</v>
      </c>
      <c r="EY44" s="13">
        <f t="shared" si="75"/>
        <v>904.54349119421681</v>
      </c>
      <c r="EZ44" s="131">
        <f t="shared" si="75"/>
        <v>839.02647337834992</v>
      </c>
      <c r="FA44" s="131">
        <f t="shared" si="75"/>
        <v>155.65098414456682</v>
      </c>
      <c r="FB44" s="131">
        <f t="shared" si="75"/>
        <v>144.37702285853373</v>
      </c>
      <c r="FC44" s="131">
        <f t="shared" si="76"/>
        <v>133.91964621395027</v>
      </c>
      <c r="FD44" s="131">
        <f t="shared" si="76"/>
        <v>124.21970814318914</v>
      </c>
      <c r="FE44" s="131">
        <f t="shared" si="76"/>
        <v>115.22234658929159</v>
      </c>
      <c r="FF44" s="131">
        <f t="shared" si="76"/>
        <v>106.87667321065717</v>
      </c>
      <c r="FG44" s="131">
        <f t="shared" si="76"/>
        <v>99.13548556074268</v>
      </c>
      <c r="FH44" s="131">
        <f t="shared" si="76"/>
        <v>91.95500011488231</v>
      </c>
    </row>
    <row r="45" spans="3:164" ht="32.81" customHeight="1">
      <c r="AH45" s="97">
        <v>5.0000000000000001E-3</v>
      </c>
      <c r="AI45" s="189">
        <v>5.0000000000000001E-3</v>
      </c>
      <c r="AJ45" s="163" t="s">
        <v>171</v>
      </c>
      <c r="BC45" s="374"/>
      <c r="BE45" s="440" t="s">
        <v>14</v>
      </c>
      <c r="BF45" s="441"/>
      <c r="BL45" s="163"/>
      <c r="BM45" s="163"/>
      <c r="BN45" s="5"/>
      <c r="BP45" s="12">
        <v>2000</v>
      </c>
      <c r="BQ45" s="50">
        <v>2000</v>
      </c>
      <c r="BR45" s="352" t="s">
        <v>172</v>
      </c>
      <c r="CE45" s="31"/>
      <c r="CF45" s="31"/>
      <c r="CI45"/>
      <c r="CJ45"/>
      <c r="CK45" s="23"/>
      <c r="CR45" s="31"/>
      <c r="CS45" s="15"/>
      <c r="CT45" s="163"/>
      <c r="CU45" s="163"/>
      <c r="CV45" s="163"/>
      <c r="CW45" s="163"/>
      <c r="CX45" s="163"/>
      <c r="DM45" s="25"/>
      <c r="EJ45" s="2">
        <f t="shared" si="74"/>
        <v>40709</v>
      </c>
      <c r="EV45" s="129">
        <f>EJ16</f>
        <v>1688.6767892519313</v>
      </c>
      <c r="EW45" s="13">
        <f t="shared" si="75"/>
        <v>1566.3641880738587</v>
      </c>
      <c r="EX45" s="13">
        <f t="shared" si="75"/>
        <v>1452.9108147256266</v>
      </c>
      <c r="EY45" s="13">
        <f t="shared" si="75"/>
        <v>1347.6749862000461</v>
      </c>
      <c r="EZ45" s="13">
        <f t="shared" si="75"/>
        <v>1250.061497251831</v>
      </c>
      <c r="FA45" s="131">
        <f t="shared" si="75"/>
        <v>231.90365079307512</v>
      </c>
      <c r="FB45" s="131">
        <f t="shared" si="75"/>
        <v>215.10663023133827</v>
      </c>
      <c r="FC45" s="131">
        <f t="shared" si="76"/>
        <v>199.5262351896678</v>
      </c>
      <c r="FD45" s="131">
        <f>FC45*(1-FC$33)*EXP($BW$39*15)</f>
        <v>185.07434422708332</v>
      </c>
      <c r="FE45" s="131">
        <f t="shared" si="76"/>
        <v>171.66921862944392</v>
      </c>
      <c r="FF45" s="131">
        <f t="shared" si="76"/>
        <v>159.23504010196137</v>
      </c>
      <c r="FG45" s="131">
        <f t="shared" si="76"/>
        <v>147.70148194712138</v>
      </c>
      <c r="FH45" s="131">
        <f t="shared" si="76"/>
        <v>137.00331130263024</v>
      </c>
    </row>
    <row r="46" spans="3:164" ht="16.44">
      <c r="C46" s="467" t="s">
        <v>173</v>
      </c>
      <c r="D46" s="467"/>
      <c r="E46" s="467"/>
      <c r="F46" s="467"/>
      <c r="G46" s="467"/>
      <c r="H46" s="467"/>
      <c r="I46" s="467"/>
      <c r="AH46" s="97">
        <v>5.0000000000000001E-3</v>
      </c>
      <c r="AI46" s="189">
        <v>5.0000000000000001E-3</v>
      </c>
      <c r="AJ46" s="163" t="s">
        <v>174</v>
      </c>
      <c r="BB46" s="438" t="s">
        <v>14</v>
      </c>
      <c r="BC46" s="439"/>
      <c r="BL46" s="163"/>
      <c r="BM46" s="163"/>
      <c r="BP46" s="12"/>
      <c r="BQ46" s="50"/>
      <c r="BZ46" s="376"/>
      <c r="CE46" s="31"/>
      <c r="CF46" s="31"/>
      <c r="CI46"/>
      <c r="CJ46"/>
      <c r="CK46" s="23"/>
      <c r="CM46" s="12"/>
      <c r="CR46" s="31"/>
      <c r="CS46" s="15"/>
      <c r="CT46" s="163"/>
      <c r="CU46" s="163"/>
      <c r="CV46" s="163"/>
      <c r="CW46" s="163"/>
      <c r="CX46" s="163"/>
      <c r="DM46" s="25"/>
      <c r="EJ46" s="2">
        <f t="shared" si="74"/>
        <v>40725</v>
      </c>
      <c r="EW46" s="129">
        <f>EJ17</f>
        <v>2272.9009392823323</v>
      </c>
      <c r="EX46" s="13">
        <f t="shared" si="75"/>
        <v>2108.2723804763218</v>
      </c>
      <c r="EY46" s="13">
        <f t="shared" si="75"/>
        <v>1955.5680379465832</v>
      </c>
      <c r="EZ46" s="13">
        <f t="shared" si="75"/>
        <v>1813.9242284121929</v>
      </c>
      <c r="FA46" s="13">
        <f t="shared" si="75"/>
        <v>336.5079652125757</v>
      </c>
      <c r="FB46" s="131">
        <f t="shared" si="75"/>
        <v>312.1343462913826</v>
      </c>
      <c r="FC46" s="131">
        <f t="shared" si="76"/>
        <v>289.52613372228063</v>
      </c>
      <c r="FD46" s="131">
        <f t="shared" si="76"/>
        <v>268.55545730273315</v>
      </c>
      <c r="FE46" s="131">
        <f t="shared" si="76"/>
        <v>249.10370860083066</v>
      </c>
      <c r="FF46" s="131">
        <f t="shared" si="76"/>
        <v>231.06087011569372</v>
      </c>
      <c r="FG46" s="131">
        <f t="shared" si="76"/>
        <v>214.32489302747962</v>
      </c>
      <c r="FH46" s="131">
        <f t="shared" si="76"/>
        <v>198.8011200175977</v>
      </c>
    </row>
    <row r="47" spans="3:164" ht="16.44">
      <c r="C47" s="294">
        <v>0</v>
      </c>
      <c r="D47" s="466" t="s">
        <v>175</v>
      </c>
      <c r="E47" s="466"/>
      <c r="F47" s="466"/>
      <c r="G47" s="466"/>
      <c r="H47" s="466"/>
      <c r="I47" s="466"/>
      <c r="AH47" s="90">
        <v>0.6</v>
      </c>
      <c r="AI47" s="187">
        <v>0.6</v>
      </c>
      <c r="AJ47" s="163" t="s">
        <v>176</v>
      </c>
      <c r="BC47" s="374"/>
      <c r="BF47" s="366" t="s">
        <v>14</v>
      </c>
      <c r="BL47" s="163"/>
      <c r="BM47" s="163"/>
      <c r="BP47" s="135">
        <v>0.95</v>
      </c>
      <c r="BQ47" s="136">
        <v>0.95</v>
      </c>
      <c r="BR47" t="s">
        <v>177</v>
      </c>
      <c r="CE47" s="31"/>
      <c r="CF47" s="31"/>
      <c r="CI47"/>
      <c r="CJ47"/>
      <c r="CK47" s="23"/>
      <c r="CM47" s="12"/>
      <c r="CP47" s="374"/>
      <c r="CY47" s="16"/>
      <c r="DM47" s="25"/>
      <c r="EJ47" s="2">
        <f t="shared" si="74"/>
        <v>40739</v>
      </c>
      <c r="EX47" s="129">
        <f>EJ18</f>
        <v>2916.8277736883401</v>
      </c>
      <c r="EY47" s="13">
        <f t="shared" si="75"/>
        <v>2705.5589302607527</v>
      </c>
      <c r="EZ47" s="13">
        <f t="shared" si="75"/>
        <v>2509.5925070191847</v>
      </c>
      <c r="FA47" s="13">
        <f t="shared" si="75"/>
        <v>465.56402677799736</v>
      </c>
      <c r="FB47" s="13">
        <f t="shared" si="75"/>
        <v>431.84274423737537</v>
      </c>
      <c r="FC47" s="131">
        <f t="shared" si="76"/>
        <v>400.56392896393913</v>
      </c>
      <c r="FD47" s="131">
        <f t="shared" si="76"/>
        <v>371.55067053489893</v>
      </c>
      <c r="FE47" s="131">
        <f t="shared" si="76"/>
        <v>344.63887233181447</v>
      </c>
      <c r="FF47" s="131">
        <f t="shared" si="76"/>
        <v>319.67632342353249</v>
      </c>
      <c r="FG47" s="131">
        <f t="shared" si="76"/>
        <v>296.52183767360032</v>
      </c>
      <c r="FH47" s="131">
        <f t="shared" si="76"/>
        <v>275.04445520301704</v>
      </c>
    </row>
    <row r="48" spans="3:164" ht="16.44">
      <c r="C48" s="351">
        <v>1</v>
      </c>
      <c r="D48" s="466" t="s">
        <v>178</v>
      </c>
      <c r="E48" s="466"/>
      <c r="F48" s="466"/>
      <c r="G48" s="466"/>
      <c r="H48" s="466"/>
      <c r="I48" s="466"/>
      <c r="AH48" s="8">
        <v>4.5</v>
      </c>
      <c r="AI48" s="188">
        <v>4.5</v>
      </c>
      <c r="AJ48" t="s">
        <v>179</v>
      </c>
      <c r="BC48" s="374"/>
      <c r="BF48" s="366" t="s">
        <v>14</v>
      </c>
      <c r="CE48" s="31"/>
      <c r="CF48" s="31"/>
      <c r="CI48"/>
      <c r="CJ48"/>
      <c r="CK48" s="23"/>
      <c r="CM48" s="12"/>
      <c r="DM48" s="25"/>
      <c r="EJ48" s="2">
        <f t="shared" si="74"/>
        <v>40756</v>
      </c>
      <c r="EY48" s="129">
        <f>EJ19</f>
        <v>3757.4824733639743</v>
      </c>
      <c r="EZ48" s="13">
        <f t="shared" si="75"/>
        <v>3485.3241431711617</v>
      </c>
      <c r="FA48" s="13">
        <f t="shared" si="75"/>
        <v>646.57570429577913</v>
      </c>
      <c r="FB48" s="13">
        <f t="shared" si="75"/>
        <v>599.74355929661988</v>
      </c>
      <c r="FC48" s="13">
        <f t="shared" si="76"/>
        <v>556.30351485219933</v>
      </c>
      <c r="FD48" s="131">
        <f t="shared" si="76"/>
        <v>516.00987762146588</v>
      </c>
      <c r="FE48" s="131">
        <f t="shared" si="76"/>
        <v>478.63475008541462</v>
      </c>
      <c r="FF48" s="131">
        <f t="shared" si="76"/>
        <v>443.96674157734611</v>
      </c>
      <c r="FG48" s="131">
        <f t="shared" si="76"/>
        <v>411.80977267453198</v>
      </c>
      <c r="FH48" s="131">
        <f t="shared" si="76"/>
        <v>381.98196618902563</v>
      </c>
    </row>
    <row r="49" spans="3:164" ht="16.19" customHeight="1">
      <c r="C49" s="351">
        <v>2</v>
      </c>
      <c r="D49" s="466" t="s">
        <v>180</v>
      </c>
      <c r="E49" s="466"/>
      <c r="F49" s="466"/>
      <c r="G49" s="466"/>
      <c r="H49" s="466"/>
      <c r="I49" s="466"/>
      <c r="AH49" s="8">
        <v>5</v>
      </c>
      <c r="AI49" s="238">
        <v>5</v>
      </c>
      <c r="AJ49" s="352" t="s">
        <v>181</v>
      </c>
      <c r="AK49" s="163"/>
      <c r="BC49" s="442" t="s">
        <v>14</v>
      </c>
      <c r="BD49" s="443"/>
      <c r="BJ49" s="16"/>
      <c r="BK49" s="16"/>
      <c r="BP49" s="6" t="s">
        <v>182</v>
      </c>
      <c r="BX49"/>
      <c r="BY49"/>
      <c r="BZ49"/>
      <c r="CA49"/>
      <c r="CB49"/>
      <c r="CE49" s="31"/>
      <c r="CF49" s="31"/>
      <c r="CI49"/>
      <c r="CJ49"/>
      <c r="CK49" s="23"/>
      <c r="CM49" s="113"/>
      <c r="DM49" s="25"/>
      <c r="EJ49" s="2">
        <f t="shared" si="74"/>
        <v>40770</v>
      </c>
      <c r="EZ49" s="129">
        <f>EJ20</f>
        <v>4920.461550157801</v>
      </c>
      <c r="FA49" s="13">
        <f t="shared" si="75"/>
        <v>912.81348923802022</v>
      </c>
      <c r="FB49" s="13">
        <f t="shared" si="75"/>
        <v>846.69746693597017</v>
      </c>
      <c r="FC49" s="13">
        <f t="shared" si="76"/>
        <v>785.37029630688812</v>
      </c>
      <c r="FD49" s="13">
        <f t="shared" si="76"/>
        <v>728.48511588592476</v>
      </c>
      <c r="FE49" s="131">
        <f t="shared" si="76"/>
        <v>675.72018774180731</v>
      </c>
      <c r="FF49" s="131">
        <f t="shared" si="76"/>
        <v>626.77707775339513</v>
      </c>
      <c r="FG49" s="131">
        <f t="shared" si="76"/>
        <v>581.37896769068163</v>
      </c>
      <c r="FH49" s="131">
        <f t="shared" si="76"/>
        <v>539.2690895535095</v>
      </c>
    </row>
    <row r="50" spans="3:164" ht="16.44">
      <c r="C50" s="351">
        <v>3</v>
      </c>
      <c r="D50" s="466" t="s">
        <v>183</v>
      </c>
      <c r="E50" s="466"/>
      <c r="F50" s="466"/>
      <c r="G50" s="466"/>
      <c r="H50" s="466"/>
      <c r="I50" s="466"/>
      <c r="AH50" s="90">
        <v>0.05</v>
      </c>
      <c r="AI50" s="254">
        <v>0.05</v>
      </c>
      <c r="AJ50" s="163" t="s">
        <v>184</v>
      </c>
      <c r="BC50" s="374"/>
      <c r="BP50" s="5" t="s">
        <v>185</v>
      </c>
      <c r="BQ50" t="s">
        <v>186</v>
      </c>
      <c r="BX50"/>
      <c r="BY50"/>
      <c r="BZ50"/>
      <c r="CA50"/>
      <c r="CB50"/>
      <c r="CI50"/>
      <c r="CJ50"/>
      <c r="CK50" s="23"/>
      <c r="CM50" s="12"/>
      <c r="DM50" s="25"/>
      <c r="DP50" s="79"/>
      <c r="DQ50" s="276"/>
      <c r="DR50" s="79"/>
      <c r="EJ50" s="2">
        <f t="shared" si="74"/>
        <v>40787</v>
      </c>
      <c r="FA50" s="129">
        <f>EJ21</f>
        <v>1171.5216924349074</v>
      </c>
      <c r="FB50" s="13">
        <f t="shared" ref="FB50:FH51" si="77">FA50*(1-FA$33)*EXP($BW$39*15)</f>
        <v>1086.6671682001493</v>
      </c>
      <c r="FC50" s="13">
        <f t="shared" si="77"/>
        <v>1007.9587446561449</v>
      </c>
      <c r="FD50" s="13">
        <f t="shared" si="77"/>
        <v>934.95125339211654</v>
      </c>
      <c r="FE50" s="131">
        <f t="shared" si="77"/>
        <v>867.23177000432872</v>
      </c>
      <c r="FF50" s="131">
        <f t="shared" si="77"/>
        <v>804.41727862940843</v>
      </c>
      <c r="FG50" s="131">
        <f t="shared" si="77"/>
        <v>746.15250563792586</v>
      </c>
      <c r="FH50" s="131">
        <f t="shared" si="77"/>
        <v>692.10791023578247</v>
      </c>
    </row>
    <row r="51" spans="3:164" ht="16.44">
      <c r="C51" s="351">
        <v>4</v>
      </c>
      <c r="D51" s="465" t="s">
        <v>187</v>
      </c>
      <c r="E51" s="465"/>
      <c r="F51" s="465"/>
      <c r="G51" s="465"/>
      <c r="H51" s="465"/>
      <c r="I51" s="465"/>
      <c r="AS51" s="5"/>
      <c r="AT51" s="5"/>
      <c r="BC51" s="374"/>
      <c r="BX51"/>
      <c r="BY51"/>
      <c r="BZ51"/>
      <c r="CA51" s="14"/>
      <c r="CB51" s="14"/>
      <c r="CI51"/>
      <c r="CJ51"/>
      <c r="CK51" s="23"/>
      <c r="CM51" s="12"/>
      <c r="DM51" s="25"/>
      <c r="DP51" s="79"/>
      <c r="DQ51" s="276"/>
      <c r="DR51" s="79"/>
      <c r="EJ51" s="2">
        <f t="shared" si="74"/>
        <v>40801</v>
      </c>
      <c r="FB51" s="129">
        <f>EJ22</f>
        <v>1576.9749000526724</v>
      </c>
      <c r="FC51" s="13">
        <f t="shared" si="77"/>
        <v>1462.752981894243</v>
      </c>
      <c r="FD51" s="13">
        <f t="shared" si="77"/>
        <v>1356.8042750515772</v>
      </c>
      <c r="FE51" s="13">
        <f t="shared" si="77"/>
        <v>1258.5295422978902</v>
      </c>
      <c r="FF51" s="131">
        <f t="shared" si="77"/>
        <v>1167.3729497766562</v>
      </c>
      <c r="FG51" s="131">
        <f t="shared" si="77"/>
        <v>1082.8189232507427</v>
      </c>
      <c r="FH51" s="131">
        <f t="shared" si="77"/>
        <v>1004.3892320566636</v>
      </c>
    </row>
    <row r="52" spans="3:164" ht="16.44">
      <c r="C52" s="351" t="s">
        <v>188</v>
      </c>
      <c r="D52" s="464" t="s">
        <v>189</v>
      </c>
      <c r="E52" s="464"/>
      <c r="F52" s="464"/>
      <c r="G52" s="464"/>
      <c r="H52" s="464"/>
      <c r="I52" s="464"/>
      <c r="J52" s="464"/>
      <c r="K52" s="464"/>
      <c r="AI52" s="331">
        <v>0.5</v>
      </c>
      <c r="AJ52" s="163" t="s">
        <v>190</v>
      </c>
      <c r="BC52" s="221"/>
      <c r="BD52" s="104"/>
      <c r="BP52" s="6" t="s">
        <v>129</v>
      </c>
      <c r="CI52"/>
      <c r="CJ52"/>
      <c r="CK52" s="23"/>
      <c r="CM52" s="12"/>
      <c r="DM52" s="25"/>
      <c r="DN52" s="363"/>
      <c r="DP52" s="79"/>
      <c r="DQ52" s="276"/>
      <c r="DR52" s="79"/>
      <c r="EI52" s="363"/>
      <c r="EJ52" s="2">
        <f t="shared" si="74"/>
        <v>40817</v>
      </c>
      <c r="FC52" s="129">
        <f>EJ23</f>
        <v>1565.936365628786</v>
      </c>
      <c r="FD52" s="13">
        <f>FC52*(1-FC$33)*EXP($BW$39*15)</f>
        <v>1452.513979901413</v>
      </c>
      <c r="FE52" s="13">
        <f>FD52*(1-FD$33)*EXP($BW$39*15)</f>
        <v>1347.3068945313589</v>
      </c>
      <c r="FF52" s="13">
        <f>FE52*(1-FE$33)*EXP($BW$39*15)</f>
        <v>1249.7200668422761</v>
      </c>
      <c r="FG52" s="131">
        <f>FF52*(1-FF$33)*EXP($BW$39*15)</f>
        <v>1159.2015537124619</v>
      </c>
      <c r="FH52" s="131">
        <f>FG52*(1-FG$33)*EXP($BW$39*15)</f>
        <v>1075.2393898296718</v>
      </c>
    </row>
    <row r="53" spans="3:164" ht="16.44">
      <c r="AI53" s="332">
        <v>60</v>
      </c>
      <c r="AJ53" s="163" t="s">
        <v>191</v>
      </c>
      <c r="BC53" s="374"/>
      <c r="BQ53" s="7"/>
      <c r="BR53" s="7"/>
      <c r="BV53" t="s">
        <v>192</v>
      </c>
      <c r="BW53" t="s">
        <v>193</v>
      </c>
      <c r="BX53" t="s">
        <v>194</v>
      </c>
      <c r="CI53"/>
      <c r="CJ53"/>
      <c r="CK53" s="23"/>
      <c r="CM53" s="12"/>
      <c r="DM53" s="25"/>
      <c r="DP53" s="79"/>
      <c r="DQ53" s="276"/>
      <c r="DR53" s="79"/>
      <c r="EI53" s="363"/>
      <c r="EJ53" s="2">
        <f t="shared" si="74"/>
        <v>40831</v>
      </c>
      <c r="FD53" s="129">
        <f>EJ24</f>
        <v>0</v>
      </c>
      <c r="FE53" s="13">
        <f>FD53*(1-FD$33)*EXP($BW$39*15)</f>
        <v>0</v>
      </c>
      <c r="FF53" s="13">
        <f>FE53*(1-FE$33)*EXP($BW$39*15)</f>
        <v>0</v>
      </c>
      <c r="FG53" s="13">
        <f>FF53*(1-FF$33)*EXP($BW$39*15)</f>
        <v>0</v>
      </c>
      <c r="FH53" s="131">
        <f>FG53*(1-FG$33)*EXP($BW$39*15)</f>
        <v>0</v>
      </c>
    </row>
    <row r="54" spans="3:164" ht="16.44">
      <c r="AL54" s="191"/>
      <c r="AM54" s="191"/>
      <c r="AN54" s="191"/>
      <c r="BC54" s="374"/>
      <c r="BE54" s="174"/>
      <c r="BF54" s="174"/>
      <c r="BG54" s="174"/>
      <c r="BH54" s="174"/>
      <c r="BM54" s="49"/>
      <c r="BN54" s="5"/>
      <c r="BP54" t="s">
        <v>195</v>
      </c>
      <c r="BQ54" s="374">
        <f>BQ30</f>
        <v>1.3774999999999999</v>
      </c>
      <c r="BR54" t="s">
        <v>196</v>
      </c>
      <c r="BV54">
        <v>0</v>
      </c>
      <c r="BW54" s="163">
        <f>BV54+12</f>
        <v>12</v>
      </c>
      <c r="BX54" s="23">
        <f>$BQ$58/BW54</f>
        <v>2.6536295761255119E-2</v>
      </c>
      <c r="CI54"/>
      <c r="CJ54"/>
      <c r="CK54" s="23"/>
      <c r="CM54" s="12"/>
      <c r="DM54" s="25"/>
      <c r="DN54" s="363"/>
      <c r="DP54" s="79"/>
      <c r="DQ54" s="276"/>
      <c r="DR54" s="79"/>
      <c r="EI54" s="363"/>
      <c r="EJ54" s="2">
        <f t="shared" si="74"/>
        <v>40848</v>
      </c>
      <c r="FE54" s="129">
        <f>EJ25</f>
        <v>0</v>
      </c>
      <c r="FF54" s="13">
        <f>FE54*(1-FE$33)*EXP($BW$39*15)</f>
        <v>0</v>
      </c>
      <c r="FG54" s="13">
        <f>FF54*(1-FF$33)*EXP($BW$39*15)</f>
        <v>0</v>
      </c>
      <c r="FH54" s="13">
        <f>FG54*(1-FG$33)*EXP($BW$39*15)</f>
        <v>0</v>
      </c>
    </row>
    <row r="55" spans="3:164" ht="16.19" customHeight="1">
      <c r="BC55" s="374"/>
      <c r="BP55" t="s">
        <v>197</v>
      </c>
      <c r="BQ55" s="37">
        <f>BQ31</f>
        <v>0.7</v>
      </c>
      <c r="BR55" t="s">
        <v>198</v>
      </c>
      <c r="BV55">
        <v>1</v>
      </c>
      <c r="BW55" s="163">
        <f t="shared" ref="BW55:BW69" si="78">BV55+12</f>
        <v>13</v>
      </c>
      <c r="BX55" s="23">
        <f t="shared" ref="BX55:BX69" si="79">$BQ$58/BW55</f>
        <v>2.4495042241158574E-2</v>
      </c>
      <c r="CI55"/>
      <c r="CJ55"/>
      <c r="CK55" s="23"/>
      <c r="CM55" s="12"/>
      <c r="DM55" s="25"/>
      <c r="DP55"/>
      <c r="DQ55" s="374"/>
      <c r="DR55"/>
      <c r="EJ55" s="2">
        <f t="shared" si="74"/>
        <v>40862</v>
      </c>
      <c r="FF55" s="129">
        <f>EJ26</f>
        <v>0</v>
      </c>
      <c r="FG55" s="13">
        <f>FF55*(1-FF$33)*EXP($BW$39*15)</f>
        <v>0</v>
      </c>
      <c r="FH55" s="13">
        <f>FG55*(1-FG$33)*EXP($BW$39*15)</f>
        <v>0</v>
      </c>
    </row>
    <row r="56" spans="3:164" ht="16.19" customHeight="1">
      <c r="AH56" s="403" t="s">
        <v>124</v>
      </c>
      <c r="AI56" s="403"/>
      <c r="AJ56" t="s">
        <v>199</v>
      </c>
      <c r="AO56" s="6"/>
      <c r="AQ56" s="6"/>
      <c r="AZ56" s="353">
        <f>(LN(BB22/BB12))/(BA22-BA12)</f>
        <v>1.2155481239808332E-2</v>
      </c>
      <c r="BC56" s="374"/>
      <c r="BO56" s="49"/>
      <c r="BP56" t="s">
        <v>197</v>
      </c>
      <c r="BQ56" s="87">
        <v>0.7</v>
      </c>
      <c r="BR56" t="s">
        <v>200</v>
      </c>
      <c r="BV56">
        <v>2</v>
      </c>
      <c r="BW56" s="163">
        <f t="shared" si="78"/>
        <v>14</v>
      </c>
      <c r="BX56" s="23">
        <f t="shared" si="79"/>
        <v>2.2745396366790103E-2</v>
      </c>
      <c r="CI56"/>
      <c r="CJ56"/>
      <c r="CK56" s="23"/>
      <c r="CM56" s="12"/>
      <c r="DM56" s="25"/>
      <c r="EJ56" s="2">
        <f t="shared" si="74"/>
        <v>40878</v>
      </c>
      <c r="FG56" s="129">
        <f>EJ27</f>
        <v>0</v>
      </c>
      <c r="FH56" s="13">
        <f>FG56*(1-FG$33)*EXP($BW$39*15)</f>
        <v>0</v>
      </c>
    </row>
    <row r="57" spans="3:164" ht="16.44">
      <c r="AH57" s="6" t="s">
        <v>201</v>
      </c>
      <c r="AL57" s="191"/>
      <c r="BC57" s="374"/>
      <c r="BK57" s="191"/>
      <c r="BL57" s="191"/>
      <c r="BM57" s="191"/>
      <c r="BN57" s="191"/>
      <c r="BO57" s="49"/>
      <c r="BP57" t="s">
        <v>202</v>
      </c>
      <c r="BQ57" s="69">
        <f>(1+($BQ$54*$BQ$55))*$BQ$56</f>
        <v>1.3749749999999998</v>
      </c>
      <c r="BR57" s="69"/>
      <c r="BV57">
        <v>3</v>
      </c>
      <c r="BW57" s="163">
        <f t="shared" si="78"/>
        <v>15</v>
      </c>
      <c r="BX57" s="23">
        <f t="shared" si="79"/>
        <v>2.1229036609004097E-2</v>
      </c>
      <c r="CI57"/>
      <c r="CJ57"/>
      <c r="CK57" s="23"/>
      <c r="DM57" s="25"/>
      <c r="EJ57" s="2">
        <f t="shared" si="74"/>
        <v>40892</v>
      </c>
      <c r="EP57" s="368"/>
      <c r="FH57" s="129">
        <f>EJ28</f>
        <v>0</v>
      </c>
    </row>
    <row r="58" spans="3:164" ht="16.19" customHeight="1">
      <c r="AH58" t="s">
        <v>203</v>
      </c>
      <c r="AO58" s="352"/>
      <c r="BC58" s="374"/>
      <c r="BK58" s="191"/>
      <c r="BL58" s="191"/>
      <c r="BM58" s="191"/>
      <c r="BN58" s="191"/>
      <c r="BP58" s="5" t="s">
        <v>204</v>
      </c>
      <c r="BQ58">
        <f>LN(BQ57)</f>
        <v>0.31843554913506145</v>
      </c>
      <c r="BV58">
        <v>4</v>
      </c>
      <c r="BW58" s="163">
        <f t="shared" si="78"/>
        <v>16</v>
      </c>
      <c r="BX58" s="23">
        <f t="shared" si="79"/>
        <v>1.990222182094134E-2</v>
      </c>
      <c r="CI58"/>
      <c r="CJ58"/>
      <c r="CK58" s="23"/>
      <c r="DM58" s="25"/>
      <c r="EJ58" s="132" t="s">
        <v>205</v>
      </c>
      <c r="EK58" s="132"/>
      <c r="EL58" s="132"/>
      <c r="EM58" s="132"/>
      <c r="EN58" s="132"/>
      <c r="EO58" s="132"/>
      <c r="EP58" s="133">
        <f>SUM(EP34)</f>
        <v>68.664309318720015</v>
      </c>
      <c r="EQ58" s="133">
        <f>SUM(EQ34:EQ35)</f>
        <v>74.408914049046359</v>
      </c>
      <c r="ER58" s="133">
        <f>SUM(ER34:ER36)</f>
        <v>93.589327164010868</v>
      </c>
      <c r="ES58" s="133">
        <f>SUM(ES34:ES37)</f>
        <v>124.9489120019891</v>
      </c>
      <c r="ET58" s="133">
        <f>SUM(ET34:ET38)</f>
        <v>168.50756739275889</v>
      </c>
      <c r="EU58" s="133">
        <f>SUM(EU34:EU39)</f>
        <v>248.05072430079477</v>
      </c>
      <c r="EV58" s="133">
        <f>SUM(EV34:EV40)</f>
        <v>394.50678702129744</v>
      </c>
      <c r="EW58" s="133">
        <f>SUM(EW34:EW41)</f>
        <v>615.54682410803025</v>
      </c>
      <c r="EX58" s="133">
        <f>SUM(EX34:EX42)</f>
        <v>971.74272400292216</v>
      </c>
      <c r="EY58" s="133">
        <f>SUM(EY34:EY43)</f>
        <v>1489.4481018308511</v>
      </c>
      <c r="EZ58" s="133">
        <f>SUM(EZ34:EZ44)</f>
        <v>2220.5923133020083</v>
      </c>
      <c r="FA58" s="133">
        <f>SUM(FA34:FA45)</f>
        <v>643.85415523616484</v>
      </c>
      <c r="FB58" s="133">
        <f>SUM(FB34:FB46)</f>
        <v>909.35348113318764</v>
      </c>
      <c r="FC58" s="133">
        <f>SUM(FC34:FC47)</f>
        <v>1244.0519997500069</v>
      </c>
      <c r="FD58" s="133">
        <f>SUM(FD34:FD48)</f>
        <v>1669.9539081859582</v>
      </c>
      <c r="FE58" s="133">
        <f>SUM(FE34:FE49)</f>
        <v>2224.7176123319932</v>
      </c>
      <c r="FF58" s="133">
        <f>SUM(FF34:FF50)</f>
        <v>2867.9963002121676</v>
      </c>
      <c r="FG58" s="133">
        <f>SUM(FG34:FG51)</f>
        <v>3743.0832940133223</v>
      </c>
      <c r="FH58" s="133">
        <f>SUM(FH34:FH52)</f>
        <v>4547.2073010587192</v>
      </c>
    </row>
    <row r="59" spans="3:164" ht="16.44">
      <c r="AH59" t="s">
        <v>206</v>
      </c>
      <c r="BC59" s="374"/>
      <c r="BP59" s="5" t="s">
        <v>207</v>
      </c>
      <c r="BQ59" s="6">
        <f>BQ58/12</f>
        <v>2.6536295761255119E-2</v>
      </c>
      <c r="BV59">
        <v>5</v>
      </c>
      <c r="BW59" s="163">
        <f t="shared" si="78"/>
        <v>17</v>
      </c>
      <c r="BX59" s="66">
        <f t="shared" si="79"/>
        <v>1.8731502890297732E-2</v>
      </c>
      <c r="BY59" s="413" t="s">
        <v>208</v>
      </c>
      <c r="CI59"/>
      <c r="CJ59"/>
      <c r="CK59" s="23"/>
      <c r="EJ59" t="s">
        <v>209</v>
      </c>
      <c r="EK59" s="13">
        <f t="shared" ref="EK59:FH59" si="80">SUM(EK34:EK57)</f>
        <v>100</v>
      </c>
      <c r="EL59" s="13">
        <f t="shared" si="80"/>
        <v>108.36621643372476</v>
      </c>
      <c r="EM59" s="13">
        <f t="shared" si="80"/>
        <v>136.29981586153599</v>
      </c>
      <c r="EN59" s="13">
        <f t="shared" si="80"/>
        <v>181.97068206426155</v>
      </c>
      <c r="EO59" s="13">
        <f t="shared" si="80"/>
        <v>245.40779491510668</v>
      </c>
      <c r="EP59" s="13">
        <f t="shared" si="80"/>
        <v>361.25132075444685</v>
      </c>
      <c r="EQ59" s="13">
        <f t="shared" si="80"/>
        <v>574.5441713978513</v>
      </c>
      <c r="ER59" s="13">
        <f t="shared" si="80"/>
        <v>896.45818943701693</v>
      </c>
      <c r="ES59" s="13">
        <f t="shared" si="80"/>
        <v>1415.2078913258581</v>
      </c>
      <c r="ET59" s="13">
        <f t="shared" si="80"/>
        <v>2169.1736458270643</v>
      </c>
      <c r="EU59" s="13">
        <f t="shared" si="80"/>
        <v>3233.9833245750083</v>
      </c>
      <c r="EV59" s="13">
        <f t="shared" si="80"/>
        <v>4688.4193668036396</v>
      </c>
      <c r="EW59" s="13">
        <f t="shared" si="80"/>
        <v>6621.733256736261</v>
      </c>
      <c r="EX59" s="13">
        <f t="shared" si="80"/>
        <v>9058.9420624292216</v>
      </c>
      <c r="EY59" s="13">
        <f t="shared" si="80"/>
        <v>12160.276020796424</v>
      </c>
      <c r="EZ59" s="13">
        <f t="shared" si="80"/>
        <v>16199.956239314179</v>
      </c>
      <c r="FA59" s="13">
        <f t="shared" si="80"/>
        <v>4176.8370331954447</v>
      </c>
      <c r="FB59" s="13">
        <f t="shared" si="80"/>
        <v>5451.2793198559748</v>
      </c>
      <c r="FC59" s="13">
        <f t="shared" si="80"/>
        <v>6622.373903088268</v>
      </c>
      <c r="FD59" s="13">
        <f t="shared" si="80"/>
        <v>6142.7085324169902</v>
      </c>
      <c r="FE59" s="13">
        <f t="shared" si="80"/>
        <v>5697.7858191655705</v>
      </c>
      <c r="FF59" s="13">
        <f t="shared" si="80"/>
        <v>5285.0893168310995</v>
      </c>
      <c r="FG59" s="13">
        <f t="shared" si="80"/>
        <v>4902.2848477257839</v>
      </c>
      <c r="FH59" s="13">
        <f t="shared" si="80"/>
        <v>4547.2073010587192</v>
      </c>
    </row>
    <row r="60" spans="3:164" ht="16.44">
      <c r="AO60" s="6"/>
      <c r="AP60" s="6"/>
      <c r="AQ60" s="6"/>
      <c r="BC60" s="374"/>
      <c r="BP60" s="5" t="s">
        <v>210</v>
      </c>
      <c r="BQ60">
        <f>BQ58/17</f>
        <v>1.8731502890297732E-2</v>
      </c>
      <c r="BV60">
        <v>6</v>
      </c>
      <c r="BW60" s="163">
        <f t="shared" si="78"/>
        <v>18</v>
      </c>
      <c r="BX60" s="66">
        <f t="shared" si="79"/>
        <v>1.7690863840836749E-2</v>
      </c>
      <c r="BY60" s="413"/>
      <c r="CI60"/>
      <c r="CJ60"/>
      <c r="CK60" s="23"/>
      <c r="EJ60" t="s">
        <v>211</v>
      </c>
      <c r="EK60" s="31">
        <f t="shared" ref="EK60:FH60" si="81">IF(EK59=0,0,IF(EK58/EK59=1,0.99,EK58/EK59))</f>
        <v>0</v>
      </c>
      <c r="EL60" s="31">
        <f t="shared" si="81"/>
        <v>0</v>
      </c>
      <c r="EM60" s="31">
        <f t="shared" si="81"/>
        <v>0</v>
      </c>
      <c r="EN60" s="31">
        <f t="shared" si="81"/>
        <v>0</v>
      </c>
      <c r="EO60" s="31">
        <f t="shared" si="81"/>
        <v>0</v>
      </c>
      <c r="EP60" s="31">
        <f t="shared" si="81"/>
        <v>0.19007351772533218</v>
      </c>
      <c r="EQ60" s="31">
        <f t="shared" si="81"/>
        <v>0.12950947508180505</v>
      </c>
      <c r="ER60" s="31">
        <f t="shared" si="81"/>
        <v>0.10439898733345916</v>
      </c>
      <c r="ES60" s="31">
        <f t="shared" si="81"/>
        <v>8.8290146463873162E-2</v>
      </c>
      <c r="ET60" s="31">
        <f t="shared" si="81"/>
        <v>7.7682839138731183E-2</v>
      </c>
      <c r="EU60" s="31">
        <f t="shared" si="81"/>
        <v>7.6701299730230418E-2</v>
      </c>
      <c r="EV60" s="31">
        <f t="shared" si="81"/>
        <v>8.4144944416577439E-2</v>
      </c>
      <c r="EW60" s="31">
        <f t="shared" si="81"/>
        <v>9.2958565415155778E-2</v>
      </c>
      <c r="EX60" s="31">
        <f t="shared" si="81"/>
        <v>0.1072688971080959</v>
      </c>
      <c r="EY60" s="31">
        <f t="shared" si="81"/>
        <v>0.12248472808377102</v>
      </c>
      <c r="EZ60" s="31">
        <f t="shared" si="81"/>
        <v>0.13707396986129244</v>
      </c>
      <c r="FA60" s="31">
        <f t="shared" si="81"/>
        <v>0.15414873745830374</v>
      </c>
      <c r="FB60" s="31">
        <f t="shared" si="81"/>
        <v>0.16681469207070701</v>
      </c>
      <c r="FC60" s="31">
        <f t="shared" si="81"/>
        <v>0.1878558984973436</v>
      </c>
      <c r="FD60" s="31">
        <f t="shared" si="81"/>
        <v>0.27185953873166702</v>
      </c>
      <c r="FE60" s="31">
        <f t="shared" si="81"/>
        <v>0.39045300805248567</v>
      </c>
      <c r="FF60" s="31">
        <f t="shared" si="81"/>
        <v>0.5426580570887678</v>
      </c>
      <c r="FG60" s="31">
        <f t="shared" si="81"/>
        <v>0.76353851525983318</v>
      </c>
      <c r="FH60" s="31">
        <f t="shared" si="81"/>
        <v>0.99</v>
      </c>
    </row>
    <row r="61" spans="3:164" ht="16.19" customHeight="1">
      <c r="AH61" s="354" t="s">
        <v>212</v>
      </c>
      <c r="AI61" s="140" t="s">
        <v>213</v>
      </c>
      <c r="AX61" s="44" t="s">
        <v>214</v>
      </c>
      <c r="AY61" s="44"/>
      <c r="AZ61" s="5"/>
      <c r="BB61" s="5"/>
      <c r="BC61" s="374"/>
      <c r="BV61">
        <v>7</v>
      </c>
      <c r="BW61" s="163">
        <f t="shared" si="78"/>
        <v>19</v>
      </c>
      <c r="BX61" s="66">
        <f t="shared" si="79"/>
        <v>1.6759765743950602E-2</v>
      </c>
      <c r="BY61" s="413"/>
      <c r="EJ61" s="16"/>
    </row>
    <row r="62" spans="3:164" ht="16.44">
      <c r="AH62" s="23">
        <f>AH63+0.001</f>
        <v>3.3000000000000008E-2</v>
      </c>
      <c r="AI62" s="14">
        <f>(LN(2))/AH62</f>
        <v>21.004460016968032</v>
      </c>
      <c r="AO62" s="191"/>
      <c r="AY62" s="5" t="s">
        <v>215</v>
      </c>
      <c r="AZ62" s="5" t="s">
        <v>216</v>
      </c>
      <c r="BA62" s="55" t="s">
        <v>217</v>
      </c>
      <c r="BB62" s="5"/>
      <c r="BC62" s="374"/>
      <c r="BP62" s="6" t="s">
        <v>137</v>
      </c>
      <c r="BS62" s="352"/>
      <c r="BV62">
        <v>8</v>
      </c>
      <c r="BW62" s="163">
        <f t="shared" si="78"/>
        <v>20</v>
      </c>
      <c r="BX62" s="66">
        <f t="shared" si="79"/>
        <v>1.5921777456753071E-2</v>
      </c>
      <c r="BY62" s="413"/>
    </row>
    <row r="63" spans="3:164">
      <c r="AH63" s="23">
        <f>AH64+0.001</f>
        <v>3.2000000000000008E-2</v>
      </c>
      <c r="AI63" s="14">
        <f t="shared" ref="AI63:AI70" si="82">(LN(2))/AH63</f>
        <v>21.660849392498285</v>
      </c>
      <c r="BC63" s="374"/>
      <c r="BO63" s="414" t="s">
        <v>218</v>
      </c>
      <c r="BP63" s="69" t="s">
        <v>195</v>
      </c>
      <c r="BQ63" s="374">
        <f>BQ32</f>
        <v>3.5</v>
      </c>
      <c r="BR63" t="s">
        <v>196</v>
      </c>
      <c r="BS63" s="352"/>
      <c r="BV63">
        <v>9</v>
      </c>
      <c r="BW63" s="163">
        <f t="shared" si="78"/>
        <v>21</v>
      </c>
      <c r="BX63" s="66">
        <f t="shared" si="79"/>
        <v>1.516359757786007E-2</v>
      </c>
      <c r="BY63" s="413"/>
    </row>
    <row r="64" spans="3:164" ht="16.44">
      <c r="AH64" s="23">
        <f>AH65+0.001</f>
        <v>3.1000000000000007E-2</v>
      </c>
      <c r="AI64" s="14">
        <f t="shared" si="82"/>
        <v>22.359586469675648</v>
      </c>
      <c r="AY64" s="5"/>
      <c r="BA64" s="30"/>
      <c r="BC64" s="374"/>
      <c r="BO64" s="414"/>
      <c r="BP64" s="69" t="s">
        <v>197</v>
      </c>
      <c r="BQ64" s="38">
        <f>BQ33</f>
        <v>0.7</v>
      </c>
      <c r="BR64" t="s">
        <v>219</v>
      </c>
      <c r="BS64" s="40"/>
      <c r="BV64">
        <v>10</v>
      </c>
      <c r="BW64" s="163">
        <f t="shared" si="78"/>
        <v>22</v>
      </c>
      <c r="BX64" s="66">
        <f t="shared" si="79"/>
        <v>1.4474343142502793E-2</v>
      </c>
      <c r="BY64" s="413"/>
    </row>
    <row r="65" spans="34:149" ht="16.44">
      <c r="AH65" s="23">
        <f>AH66+0.001</f>
        <v>3.0000000000000006E-2</v>
      </c>
      <c r="AI65" s="14">
        <f t="shared" si="82"/>
        <v>23.104906018664838</v>
      </c>
      <c r="AV65" s="56"/>
      <c r="AW65" s="56"/>
      <c r="AY65" s="83" t="s">
        <v>220</v>
      </c>
      <c r="AZ65">
        <v>1993</v>
      </c>
      <c r="BA65" s="28">
        <v>3.0571428571428572E-2</v>
      </c>
      <c r="BC65" s="374"/>
      <c r="BO65" s="414"/>
      <c r="BP65" s="69" t="s">
        <v>221</v>
      </c>
      <c r="BQ65" s="374">
        <v>0.7</v>
      </c>
      <c r="BR65" t="s">
        <v>200</v>
      </c>
      <c r="BV65">
        <v>11</v>
      </c>
      <c r="BW65" s="163">
        <f t="shared" si="78"/>
        <v>23</v>
      </c>
      <c r="BX65" s="66">
        <f t="shared" si="79"/>
        <v>1.3845023875437455E-2</v>
      </c>
      <c r="BY65" s="413"/>
    </row>
    <row r="66" spans="34:149" ht="16.44">
      <c r="AH66" s="23">
        <f t="shared" ref="AH66:AH69" si="83">AH67+0.001</f>
        <v>2.9000000000000005E-2</v>
      </c>
      <c r="AI66" s="14">
        <f t="shared" si="82"/>
        <v>23.901626915860177</v>
      </c>
      <c r="AV66" s="359"/>
      <c r="AW66" s="359"/>
      <c r="AY66" s="83" t="s">
        <v>222</v>
      </c>
      <c r="AZ66">
        <v>2007</v>
      </c>
      <c r="BA66" s="28">
        <v>2.7285714285714285E-2</v>
      </c>
      <c r="BC66" s="374"/>
      <c r="BP66" t="s">
        <v>202</v>
      </c>
      <c r="BQ66">
        <f>(1+(BQ63*BQ64))*BQ65</f>
        <v>2.4149999999999996</v>
      </c>
      <c r="BV66">
        <v>12</v>
      </c>
      <c r="BW66" s="163">
        <f t="shared" si="78"/>
        <v>24</v>
      </c>
      <c r="BX66" s="66">
        <f t="shared" si="79"/>
        <v>1.326814788062756E-2</v>
      </c>
      <c r="BY66" s="413"/>
    </row>
    <row r="67" spans="34:149" ht="16.44">
      <c r="AH67" s="23">
        <f t="shared" si="83"/>
        <v>2.8000000000000004E-2</v>
      </c>
      <c r="AI67" s="14">
        <f t="shared" si="82"/>
        <v>24.755256448569472</v>
      </c>
      <c r="AS67" s="213"/>
      <c r="AT67" s="213"/>
      <c r="AU67" s="213"/>
      <c r="AV67" s="214"/>
      <c r="AW67" s="214"/>
      <c r="AX67" s="213"/>
      <c r="AY67" s="215" t="s">
        <v>223</v>
      </c>
      <c r="BA67" s="30">
        <v>2.3E-2</v>
      </c>
      <c r="BC67" s="374"/>
      <c r="BP67" s="5" t="s">
        <v>204</v>
      </c>
      <c r="BQ67">
        <f>LN(BQ66)</f>
        <v>0.88169928710453582</v>
      </c>
      <c r="BV67">
        <v>13</v>
      </c>
      <c r="BW67" s="163">
        <f t="shared" si="78"/>
        <v>25</v>
      </c>
      <c r="BX67" s="66">
        <f t="shared" si="79"/>
        <v>1.2737421965402458E-2</v>
      </c>
      <c r="BY67" s="413"/>
    </row>
    <row r="68" spans="34:149" ht="16.44">
      <c r="AH68" s="23">
        <f t="shared" si="83"/>
        <v>2.7000000000000003E-2</v>
      </c>
      <c r="AI68" s="14">
        <f t="shared" si="82"/>
        <v>25.672117798516489</v>
      </c>
      <c r="AV68" s="359"/>
      <c r="AW68" s="359"/>
      <c r="AY68" s="83" t="s">
        <v>224</v>
      </c>
      <c r="AZ68">
        <v>1999</v>
      </c>
      <c r="BA68" s="28">
        <v>2.2936022002005126E-2</v>
      </c>
      <c r="BC68" s="374"/>
      <c r="BP68" s="5" t="s">
        <v>207</v>
      </c>
      <c r="BQ68" s="6">
        <f>BQ67/15</f>
        <v>5.8779952473635724E-2</v>
      </c>
      <c r="BV68">
        <v>14</v>
      </c>
      <c r="BW68" s="163">
        <f t="shared" si="78"/>
        <v>26</v>
      </c>
      <c r="BX68" s="66">
        <f t="shared" si="79"/>
        <v>1.2247521120579287E-2</v>
      </c>
      <c r="BY68" s="413"/>
      <c r="CE68" s="26"/>
      <c r="CF68" s="26"/>
    </row>
    <row r="69" spans="34:149" ht="16" customHeight="1">
      <c r="AH69" s="23">
        <f t="shared" si="83"/>
        <v>2.6000000000000002E-2</v>
      </c>
      <c r="AI69" s="14">
        <f t="shared" si="82"/>
        <v>26.659506944613277</v>
      </c>
      <c r="AW69" s="49"/>
      <c r="AX69" s="49"/>
      <c r="AY69" s="83" t="s">
        <v>225</v>
      </c>
      <c r="AZ69">
        <v>2002</v>
      </c>
      <c r="BA69" s="28">
        <v>2.2714285714285715E-2</v>
      </c>
      <c r="BC69" s="374"/>
      <c r="BP69" s="5"/>
      <c r="BV69">
        <v>15</v>
      </c>
      <c r="BW69" s="163">
        <f t="shared" si="78"/>
        <v>27</v>
      </c>
      <c r="BX69" s="66">
        <f t="shared" si="79"/>
        <v>1.1793909227224498E-2</v>
      </c>
      <c r="BY69" s="413"/>
      <c r="BZ69"/>
      <c r="CA69"/>
      <c r="CB69"/>
      <c r="CE69" s="26"/>
      <c r="CF69" s="26"/>
    </row>
    <row r="70" spans="34:149" ht="16" customHeight="1">
      <c r="AH70" s="23">
        <f>AH71+0.001</f>
        <v>2.5000000000000001E-2</v>
      </c>
      <c r="AI70" s="14">
        <f t="shared" si="82"/>
        <v>27.725887222397809</v>
      </c>
      <c r="AV70" s="49"/>
      <c r="AW70" s="49"/>
      <c r="AX70" s="49"/>
      <c r="AY70" s="83" t="s">
        <v>226</v>
      </c>
      <c r="AZ70">
        <v>1994</v>
      </c>
      <c r="BA70" s="216">
        <v>2.1428571428571429E-2</v>
      </c>
      <c r="BB70" s="415" t="s">
        <v>227</v>
      </c>
      <c r="BC70" s="374"/>
      <c r="CE70" s="26"/>
      <c r="CF70" s="26"/>
    </row>
    <row r="71" spans="34:149" ht="16" customHeight="1">
      <c r="AH71" s="23">
        <v>2.4E-2</v>
      </c>
      <c r="AI71" s="14">
        <f>(LN(2))/AH71</f>
        <v>28.881132523331054</v>
      </c>
      <c r="AV71" s="49"/>
      <c r="AW71" s="49"/>
      <c r="AX71" s="49"/>
      <c r="AY71" s="83" t="s">
        <v>228</v>
      </c>
      <c r="AZ71" s="16">
        <v>1997</v>
      </c>
      <c r="BA71" s="217">
        <v>2.1428571428571429E-2</v>
      </c>
      <c r="BB71" s="415"/>
      <c r="BC71" s="374"/>
      <c r="BP71" s="6" t="s">
        <v>229</v>
      </c>
      <c r="BQ71" s="6"/>
      <c r="BR71" s="6"/>
      <c r="BS71" s="6"/>
      <c r="BT71" s="6"/>
      <c r="CE71" s="26"/>
      <c r="CF71" s="26"/>
    </row>
    <row r="72" spans="34:149" ht="16" customHeight="1">
      <c r="AH72" s="23">
        <f t="shared" ref="AH72:AH93" si="84">AH71-0.001</f>
        <v>2.3E-2</v>
      </c>
      <c r="AI72" s="14">
        <f>(LN(2))/AH72</f>
        <v>30.136833937388925</v>
      </c>
      <c r="AW72" s="126"/>
      <c r="AX72" s="126"/>
      <c r="AY72" s="5" t="s">
        <v>230</v>
      </c>
      <c r="AZ72">
        <v>1999</v>
      </c>
      <c r="BA72" s="218">
        <v>2.1000000000000001E-2</v>
      </c>
      <c r="BB72" s="415"/>
      <c r="BC72" s="374"/>
      <c r="BP72" s="53">
        <v>5.0000000000000001E-3</v>
      </c>
      <c r="BQ72" t="s">
        <v>231</v>
      </c>
      <c r="BR72" s="41">
        <f>1-BP72</f>
        <v>0.995</v>
      </c>
      <c r="BS72" t="s">
        <v>232</v>
      </c>
      <c r="BU72" t="s">
        <v>233</v>
      </c>
      <c r="CE72" s="26"/>
      <c r="CF72" s="26"/>
      <c r="ES72" s="14"/>
    </row>
    <row r="73" spans="34:149" ht="16.44">
      <c r="AH73" s="23">
        <f t="shared" si="84"/>
        <v>2.1999999999999999E-2</v>
      </c>
      <c r="AI73" s="14">
        <f>(LN(2))/AH73</f>
        <v>31.506690025452059</v>
      </c>
      <c r="AV73" s="126"/>
      <c r="AW73" s="126"/>
      <c r="AX73" s="126"/>
      <c r="AY73" s="83" t="s">
        <v>222</v>
      </c>
      <c r="AZ73">
        <v>2007</v>
      </c>
      <c r="BA73" s="216">
        <v>2.0714285714285713E-2</v>
      </c>
      <c r="BB73" s="415"/>
      <c r="BC73" s="374"/>
      <c r="BP73">
        <f>LN(BR72)</f>
        <v>-5.0125418235442863E-3</v>
      </c>
      <c r="BQ73" t="s">
        <v>234</v>
      </c>
      <c r="CE73" s="26"/>
      <c r="CF73" s="26"/>
    </row>
    <row r="74" spans="34:149" ht="16.44">
      <c r="AH74" s="23">
        <f t="shared" si="84"/>
        <v>2.0999999999999998E-2</v>
      </c>
      <c r="AI74" s="14">
        <f t="shared" ref="AI74:AI90" si="85">(LN(2))/AH74</f>
        <v>33.007008598092639</v>
      </c>
      <c r="AV74" s="126"/>
      <c r="AW74" s="126"/>
      <c r="AX74" s="126"/>
      <c r="AY74" s="83" t="s">
        <v>235</v>
      </c>
      <c r="AZ74">
        <v>1996</v>
      </c>
      <c r="BA74" s="216">
        <v>1.9857142857142858E-2</v>
      </c>
      <c r="BB74" s="415"/>
      <c r="BC74" s="374"/>
      <c r="BP74" s="42">
        <f>100*EXP(BP73*100)</f>
        <v>60.577043649072792</v>
      </c>
      <c r="BQ74" s="43" t="s">
        <v>236</v>
      </c>
      <c r="BR74" s="43"/>
      <c r="BS74" s="43"/>
      <c r="CB74"/>
      <c r="CC74"/>
      <c r="CD74"/>
      <c r="CE74"/>
      <c r="CF74"/>
      <c r="CG74"/>
    </row>
    <row r="75" spans="34:149" ht="16" customHeight="1">
      <c r="AH75" s="23">
        <f t="shared" si="84"/>
        <v>1.9999999999999997E-2</v>
      </c>
      <c r="AI75" s="14">
        <f t="shared" si="85"/>
        <v>34.657359027997266</v>
      </c>
      <c r="AT75" s="6"/>
      <c r="AU75" s="6"/>
      <c r="AY75" s="83" t="s">
        <v>237</v>
      </c>
      <c r="AZ75">
        <v>2007</v>
      </c>
      <c r="BA75" s="216">
        <v>1.9571428571428573E-2</v>
      </c>
      <c r="BB75" s="415"/>
      <c r="BC75" s="374"/>
      <c r="BX75" s="416" t="s">
        <v>238</v>
      </c>
      <c r="BY75" s="416"/>
      <c r="BZ75" s="416"/>
      <c r="CA75" s="416"/>
      <c r="CB75" s="416"/>
      <c r="CC75" s="416"/>
      <c r="CD75"/>
      <c r="CE75"/>
      <c r="CF75"/>
      <c r="CG75"/>
    </row>
    <row r="76" spans="34:149" ht="16.44">
      <c r="AH76" s="23">
        <f>AH75-0.001</f>
        <v>1.8999999999999996E-2</v>
      </c>
      <c r="AI76" s="14">
        <f t="shared" si="85"/>
        <v>36.481430555786602</v>
      </c>
      <c r="AY76" s="5" t="s">
        <v>239</v>
      </c>
      <c r="AZ76">
        <v>2016</v>
      </c>
      <c r="BA76" s="218">
        <v>1.9E-2</v>
      </c>
      <c r="BB76" s="415"/>
      <c r="BC76" s="374"/>
      <c r="BP76" s="6" t="s">
        <v>240</v>
      </c>
      <c r="BX76" s="416"/>
      <c r="BY76" s="416"/>
      <c r="BZ76" s="416"/>
      <c r="CA76" s="416"/>
      <c r="CB76" s="416"/>
      <c r="CC76" s="416"/>
    </row>
    <row r="77" spans="34:149" ht="16.44">
      <c r="AH77" s="23">
        <f t="shared" si="84"/>
        <v>1.7999999999999995E-2</v>
      </c>
      <c r="AI77" s="14">
        <f t="shared" si="85"/>
        <v>38.508176697774751</v>
      </c>
      <c r="AY77" s="83" t="s">
        <v>241</v>
      </c>
      <c r="AZ77">
        <v>1995</v>
      </c>
      <c r="BA77" s="216">
        <v>1.8714285714285715E-2</v>
      </c>
      <c r="BB77" s="415"/>
      <c r="BC77" s="374"/>
      <c r="BP77" s="53">
        <v>0.01</v>
      </c>
      <c r="BQ77" t="s">
        <v>231</v>
      </c>
      <c r="BR77" s="41">
        <f>1-BP77</f>
        <v>0.99</v>
      </c>
      <c r="BS77" t="s">
        <v>232</v>
      </c>
      <c r="BX77" s="416"/>
      <c r="BY77" s="416"/>
      <c r="BZ77" s="416"/>
      <c r="CA77" s="416"/>
      <c r="CB77" s="416"/>
      <c r="CC77" s="416"/>
    </row>
    <row r="78" spans="34:149" ht="16.44">
      <c r="AH78" s="23">
        <f t="shared" si="84"/>
        <v>1.6999999999999994E-2</v>
      </c>
      <c r="AI78" s="14">
        <f t="shared" si="85"/>
        <v>40.773363562349736</v>
      </c>
      <c r="AY78" s="83" t="s">
        <v>222</v>
      </c>
      <c r="AZ78">
        <v>2007</v>
      </c>
      <c r="BA78" s="216">
        <v>1.7428571428571429E-2</v>
      </c>
      <c r="BB78" s="415"/>
      <c r="BC78" s="374"/>
      <c r="BP78">
        <f>LN(BR77)</f>
        <v>-1.0050335853501451E-2</v>
      </c>
      <c r="BQ78" t="s">
        <v>234</v>
      </c>
      <c r="BX78" s="416"/>
      <c r="BY78" s="416"/>
      <c r="BZ78" s="416"/>
      <c r="CA78" s="416"/>
      <c r="CB78" s="416"/>
      <c r="CC78" s="416"/>
    </row>
    <row r="79" spans="34:149" ht="16" customHeight="1">
      <c r="AH79" s="23">
        <f t="shared" si="84"/>
        <v>1.5999999999999993E-2</v>
      </c>
      <c r="AI79" s="14">
        <f t="shared" si="85"/>
        <v>43.321698784996599</v>
      </c>
      <c r="AY79" s="5" t="s">
        <v>242</v>
      </c>
      <c r="AZ79">
        <v>2000</v>
      </c>
      <c r="BA79" s="218">
        <v>1.7000000000000001E-2</v>
      </c>
      <c r="BB79" s="415"/>
      <c r="BC79" s="374"/>
      <c r="BP79" s="205">
        <v>3</v>
      </c>
      <c r="BQ79" s="206">
        <v>19</v>
      </c>
      <c r="BR79" t="s">
        <v>243</v>
      </c>
      <c r="BU79">
        <f>BP79*BQ79</f>
        <v>57</v>
      </c>
      <c r="BV79" t="s">
        <v>244</v>
      </c>
      <c r="BX79" s="416"/>
      <c r="BY79" s="416"/>
      <c r="BZ79" s="416"/>
      <c r="CA79" s="416"/>
      <c r="CB79" s="416"/>
      <c r="CC79" s="416"/>
      <c r="CD79" s="27"/>
      <c r="CE79" s="27"/>
      <c r="CF79" s="27"/>
      <c r="CG79" s="27"/>
      <c r="CH79" s="27"/>
      <c r="CI79" s="27"/>
      <c r="CJ79" s="27"/>
      <c r="CK79" s="27"/>
      <c r="CL79" s="27"/>
      <c r="CM79" s="73"/>
    </row>
    <row r="80" spans="34:149" ht="16.44">
      <c r="AH80" s="23">
        <f t="shared" si="84"/>
        <v>1.4999999999999993E-2</v>
      </c>
      <c r="AI80" s="14">
        <f t="shared" si="85"/>
        <v>46.209812037329712</v>
      </c>
      <c r="AY80" s="83" t="s">
        <v>245</v>
      </c>
      <c r="AZ80">
        <v>2002</v>
      </c>
      <c r="BA80" s="28">
        <v>1.3571428571428571E-2</v>
      </c>
      <c r="BC80" s="374"/>
      <c r="BP80" s="42">
        <f>100*EXP(BP78*BU79)</f>
        <v>56.390519045238761</v>
      </c>
      <c r="BQ80" s="43" t="s">
        <v>246</v>
      </c>
      <c r="BR80" s="43">
        <f>BU79</f>
        <v>57</v>
      </c>
      <c r="BS80" s="43" t="s">
        <v>247</v>
      </c>
      <c r="DP80" s="29"/>
      <c r="DQ80" s="166"/>
      <c r="DR80" s="29"/>
      <c r="DS80" s="28"/>
      <c r="DT80" s="28"/>
      <c r="DV80" s="30"/>
      <c r="DW80" s="28"/>
      <c r="EI80" s="17"/>
      <c r="EJ80" s="14"/>
    </row>
    <row r="81" spans="34:140" s="16" customFormat="1" ht="16" customHeight="1">
      <c r="AH81" s="23">
        <f t="shared" si="84"/>
        <v>1.3999999999999992E-2</v>
      </c>
      <c r="AI81" s="14">
        <f t="shared" si="85"/>
        <v>49.51051289713898</v>
      </c>
      <c r="AS81"/>
      <c r="AY81" s="83" t="s">
        <v>248</v>
      </c>
      <c r="AZ81">
        <v>1995</v>
      </c>
      <c r="BA81" s="28">
        <v>1.1428571428571429E-2</v>
      </c>
      <c r="BC81" s="165"/>
      <c r="BF81"/>
      <c r="BL81"/>
      <c r="BM81"/>
      <c r="BP81"/>
      <c r="BQ81"/>
      <c r="BR81"/>
      <c r="BS81"/>
      <c r="BT81"/>
      <c r="BX81" t="s">
        <v>249</v>
      </c>
      <c r="CE81" s="9"/>
      <c r="CF81" s="9"/>
      <c r="CG81" s="9"/>
      <c r="CN81"/>
      <c r="CO81"/>
      <c r="CP81"/>
      <c r="CQ81"/>
      <c r="CR81"/>
      <c r="CS81"/>
      <c r="CT81"/>
      <c r="CU81"/>
      <c r="CV81"/>
      <c r="CW81"/>
      <c r="CX81"/>
      <c r="CY81"/>
      <c r="CZ81"/>
      <c r="DA81"/>
      <c r="DB81"/>
      <c r="DC81"/>
      <c r="DD81"/>
      <c r="DE81"/>
      <c r="DF81"/>
      <c r="DG81"/>
      <c r="DH81"/>
      <c r="DI81"/>
      <c r="DJ81"/>
      <c r="DK81"/>
      <c r="DL81"/>
      <c r="DM81"/>
      <c r="DN81"/>
      <c r="DO81"/>
      <c r="DP81"/>
      <c r="DQ81" s="374"/>
      <c r="DR81"/>
      <c r="DS81"/>
      <c r="DT81"/>
      <c r="DU81"/>
      <c r="DV81" s="32"/>
      <c r="DX81"/>
      <c r="DY81"/>
      <c r="DZ81"/>
      <c r="EA81"/>
      <c r="EB81"/>
      <c r="EC81"/>
      <c r="ED81"/>
      <c r="EE81"/>
      <c r="EF81"/>
      <c r="EG81"/>
      <c r="EH81"/>
      <c r="EI81" s="33"/>
      <c r="EJ81" s="27"/>
    </row>
    <row r="82" spans="34:140" ht="16.44">
      <c r="AH82" s="23">
        <f t="shared" si="84"/>
        <v>1.2999999999999991E-2</v>
      </c>
      <c r="AI82" s="14">
        <f t="shared" si="85"/>
        <v>53.319013889226596</v>
      </c>
      <c r="AY82" s="83" t="s">
        <v>250</v>
      </c>
      <c r="AZ82">
        <v>1999</v>
      </c>
      <c r="BA82" s="28">
        <v>1.035681555964402E-2</v>
      </c>
      <c r="BC82" s="374"/>
      <c r="BX82" s="352" t="s">
        <v>251</v>
      </c>
      <c r="CH82"/>
      <c r="DP82"/>
      <c r="DQ82" s="374"/>
      <c r="DR82"/>
      <c r="EI82" s="34"/>
      <c r="EJ82" s="14"/>
    </row>
    <row r="83" spans="34:140" ht="16" customHeight="1">
      <c r="AH83" s="23">
        <f t="shared" si="84"/>
        <v>1.199999999999999E-2</v>
      </c>
      <c r="AI83" s="14">
        <f t="shared" si="85"/>
        <v>57.762265046662158</v>
      </c>
      <c r="AY83" s="5" t="s">
        <v>252</v>
      </c>
      <c r="AZ83">
        <v>2000</v>
      </c>
      <c r="BA83" s="28">
        <v>0.01</v>
      </c>
      <c r="BC83" s="374"/>
      <c r="BR83" s="14"/>
      <c r="CH83"/>
      <c r="DP83"/>
      <c r="DQ83" s="374"/>
      <c r="DR83"/>
    </row>
    <row r="84" spans="34:140" ht="16.44">
      <c r="AH84" s="23">
        <f t="shared" si="84"/>
        <v>1.0999999999999989E-2</v>
      </c>
      <c r="AI84" s="14">
        <f t="shared" si="85"/>
        <v>63.013380050904182</v>
      </c>
      <c r="AY84" s="83" t="s">
        <v>237</v>
      </c>
      <c r="AZ84">
        <v>2007</v>
      </c>
      <c r="BA84" s="28">
        <v>8.7142857142857143E-3</v>
      </c>
      <c r="BC84" s="374"/>
      <c r="BH84" s="6"/>
      <c r="CE84" s="35"/>
      <c r="CF84" s="35"/>
      <c r="CG84" s="163"/>
      <c r="CH84" s="163"/>
      <c r="DP84"/>
      <c r="DQ84" s="374"/>
      <c r="DR84"/>
      <c r="EI84" s="17"/>
      <c r="EJ84" s="14"/>
    </row>
    <row r="85" spans="34:140" ht="16.44">
      <c r="AH85" s="23">
        <f t="shared" si="84"/>
        <v>9.9999999999999881E-3</v>
      </c>
      <c r="AI85" s="14">
        <f t="shared" si="85"/>
        <v>69.314718055994618</v>
      </c>
      <c r="AY85" s="83" t="s">
        <v>253</v>
      </c>
      <c r="AZ85">
        <v>2001</v>
      </c>
      <c r="BA85" s="28">
        <v>6.7142857142857143E-3</v>
      </c>
      <c r="BC85" s="374"/>
      <c r="BS85" s="17"/>
      <c r="BT85" s="17"/>
      <c r="CH85"/>
      <c r="DP85"/>
      <c r="DQ85" s="374"/>
      <c r="DR85"/>
      <c r="EI85" s="17"/>
      <c r="EJ85" s="14"/>
    </row>
    <row r="86" spans="34:140" ht="16.44">
      <c r="AH86" s="23">
        <f t="shared" si="84"/>
        <v>8.9999999999999872E-3</v>
      </c>
      <c r="AI86" s="14">
        <f t="shared" si="85"/>
        <v>77.016353395549586</v>
      </c>
      <c r="AY86" s="83" t="s">
        <v>254</v>
      </c>
      <c r="AZ86">
        <v>1999</v>
      </c>
      <c r="BA86" s="28">
        <v>4.7142857142857143E-3</v>
      </c>
      <c r="BC86" s="374"/>
      <c r="CE86" s="163"/>
      <c r="CF86" s="163"/>
      <c r="CG86" s="163"/>
      <c r="CH86" s="163"/>
      <c r="DP86"/>
      <c r="DQ86" s="374"/>
      <c r="DR86"/>
      <c r="EI86" s="17"/>
      <c r="EJ86" s="14"/>
    </row>
    <row r="87" spans="34:140" ht="63.75">
      <c r="AH87" s="23">
        <f t="shared" si="84"/>
        <v>7.9999999999999863E-3</v>
      </c>
      <c r="AI87" s="14">
        <f t="shared" si="85"/>
        <v>86.643397569993311</v>
      </c>
      <c r="AY87" s="83" t="s">
        <v>255</v>
      </c>
      <c r="AZ87">
        <v>1999</v>
      </c>
      <c r="BA87" s="216">
        <v>3.9670639760890931E-3</v>
      </c>
      <c r="BB87" s="402" t="s">
        <v>256</v>
      </c>
      <c r="BC87" s="374"/>
      <c r="CA87" s="363"/>
      <c r="CB87" s="368" t="s">
        <v>257</v>
      </c>
      <c r="CC87" s="192" t="s">
        <v>258</v>
      </c>
      <c r="CD87" s="357" t="s">
        <v>259</v>
      </c>
      <c r="CE87" s="368" t="s">
        <v>260</v>
      </c>
      <c r="CF87" s="368"/>
      <c r="CH87" s="163"/>
      <c r="DV87" s="374"/>
      <c r="DW87" s="374"/>
    </row>
    <row r="88" spans="34:140" ht="47.81">
      <c r="AH88" s="23">
        <f t="shared" si="84"/>
        <v>6.9999999999999863E-3</v>
      </c>
      <c r="AI88" s="14">
        <f t="shared" si="85"/>
        <v>99.021025794278088</v>
      </c>
      <c r="AY88" s="83" t="s">
        <v>261</v>
      </c>
      <c r="AZ88">
        <v>2000</v>
      </c>
      <c r="BA88" s="216">
        <v>3.4285714285714288E-3</v>
      </c>
      <c r="BB88" s="402"/>
      <c r="BC88" s="374"/>
      <c r="CA88" s="368" t="s">
        <v>262</v>
      </c>
      <c r="CB88" s="368" t="s">
        <v>263</v>
      </c>
      <c r="CC88" s="368">
        <f>BW128</f>
        <v>0</v>
      </c>
      <c r="CD88" s="368" t="s">
        <v>264</v>
      </c>
      <c r="CE88" s="363"/>
      <c r="CF88" s="363"/>
      <c r="CG88" s="5" t="s">
        <v>265</v>
      </c>
      <c r="CH88" s="163"/>
    </row>
    <row r="89" spans="34:140" ht="16.44">
      <c r="AH89" s="23">
        <f t="shared" si="84"/>
        <v>5.9999999999999862E-3</v>
      </c>
      <c r="AI89" s="14">
        <f t="shared" si="85"/>
        <v>115.52453009332447</v>
      </c>
      <c r="AY89" s="83" t="s">
        <v>266</v>
      </c>
      <c r="AZ89">
        <v>1999</v>
      </c>
      <c r="BA89" s="216">
        <v>3.2857142857142855E-3</v>
      </c>
      <c r="BB89" s="402"/>
      <c r="BC89" s="374"/>
      <c r="BZ89" s="5">
        <v>40</v>
      </c>
      <c r="CA89" s="43">
        <v>0</v>
      </c>
      <c r="CB89" s="211">
        <v>1E-3</v>
      </c>
      <c r="CC89" s="43">
        <v>40</v>
      </c>
      <c r="CD89" s="62">
        <f t="shared" ref="CD89:CD107" si="86">12+CC89</f>
        <v>52</v>
      </c>
      <c r="CE89" s="21">
        <f t="shared" ref="CE89:CE107" si="87">-$CG$92*LN(CB89)+$CG$89</f>
        <v>39.538776394910684</v>
      </c>
      <c r="CF89" s="21"/>
      <c r="CG89" s="142">
        <v>5</v>
      </c>
      <c r="CH89" s="163"/>
    </row>
    <row r="90" spans="34:140" ht="16.44">
      <c r="AH90" s="23">
        <f t="shared" si="84"/>
        <v>4.9999999999999862E-3</v>
      </c>
      <c r="AI90" s="14">
        <f t="shared" si="85"/>
        <v>138.62943611198943</v>
      </c>
      <c r="AY90" s="83" t="s">
        <v>237</v>
      </c>
      <c r="AZ90">
        <v>2007</v>
      </c>
      <c r="BA90" s="216">
        <v>3.0000000000000001E-3</v>
      </c>
      <c r="BB90" s="402"/>
      <c r="BC90" s="374"/>
      <c r="BZ90" s="5">
        <v>30</v>
      </c>
      <c r="CA90" s="43">
        <v>10</v>
      </c>
      <c r="CB90" s="210">
        <f t="shared" ref="CB90:CB107" si="88">CA90*20/8000</f>
        <v>2.5000000000000001E-2</v>
      </c>
      <c r="CC90" s="43">
        <v>30</v>
      </c>
      <c r="CD90" s="62">
        <f t="shared" si="86"/>
        <v>42</v>
      </c>
      <c r="CE90" s="21">
        <f t="shared" si="87"/>
        <v>23.444397270569681</v>
      </c>
      <c r="CF90" s="21"/>
      <c r="CH90" s="163"/>
    </row>
    <row r="91" spans="34:140" ht="16.44">
      <c r="AH91" s="23">
        <f>AH90-0.001</f>
        <v>3.9999999999999862E-3</v>
      </c>
      <c r="AI91" s="14">
        <f>(LN(2))/AH91</f>
        <v>173.28679513998691</v>
      </c>
      <c r="AY91" s="83" t="s">
        <v>267</v>
      </c>
      <c r="AZ91">
        <v>2000</v>
      </c>
      <c r="BA91" s="216">
        <v>2.142857142857143E-3</v>
      </c>
      <c r="BB91" s="402"/>
      <c r="BC91" s="374"/>
      <c r="BZ91" s="5">
        <v>20</v>
      </c>
      <c r="CA91" s="43">
        <v>25</v>
      </c>
      <c r="CB91" s="210">
        <f t="shared" si="88"/>
        <v>6.25E-2</v>
      </c>
      <c r="CC91" s="43">
        <v>20</v>
      </c>
      <c r="CD91" s="62">
        <f t="shared" si="86"/>
        <v>32</v>
      </c>
      <c r="CE91" s="21">
        <f t="shared" si="87"/>
        <v>18.862943611198908</v>
      </c>
      <c r="CF91" s="21"/>
      <c r="CG91" s="5" t="s">
        <v>268</v>
      </c>
      <c r="CH91" s="163"/>
    </row>
    <row r="92" spans="34:140" ht="16.44">
      <c r="AH92" s="23">
        <f t="shared" si="84"/>
        <v>2.9999999999999862E-3</v>
      </c>
      <c r="AI92" s="14">
        <f>(LN(2))/AH92</f>
        <v>231.04906018664948</v>
      </c>
      <c r="AY92" s="83" t="s">
        <v>269</v>
      </c>
      <c r="AZ92">
        <v>1999</v>
      </c>
      <c r="BA92" s="216">
        <v>-8.0662155061252579E-3</v>
      </c>
      <c r="BB92" s="402"/>
      <c r="BC92" s="374"/>
      <c r="BU92">
        <v>1.45</v>
      </c>
      <c r="BV92">
        <v>16.2</v>
      </c>
      <c r="BW92" s="212">
        <f>LN(BU92)/BV92</f>
        <v>2.2936022002005126E-2</v>
      </c>
      <c r="BZ92" s="5">
        <v>17</v>
      </c>
      <c r="CA92" s="43">
        <v>40</v>
      </c>
      <c r="CB92" s="210">
        <f t="shared" si="88"/>
        <v>0.1</v>
      </c>
      <c r="CC92" s="43">
        <v>17</v>
      </c>
      <c r="CD92" s="62">
        <f t="shared" si="86"/>
        <v>29</v>
      </c>
      <c r="CE92" s="21">
        <f t="shared" si="87"/>
        <v>16.512925464970227</v>
      </c>
      <c r="CF92" s="21"/>
      <c r="CG92" s="142">
        <v>5</v>
      </c>
      <c r="CP92" s="354"/>
      <c r="CQ92" s="354"/>
      <c r="CR92" s="354"/>
      <c r="CS92" s="354"/>
    </row>
    <row r="93" spans="34:140" ht="16.44">
      <c r="AH93" s="23">
        <f t="shared" si="84"/>
        <v>1.9999999999999862E-3</v>
      </c>
      <c r="AI93" s="14">
        <f>(LN(2))/AH93</f>
        <v>346.57359027997506</v>
      </c>
      <c r="BC93" s="374"/>
      <c r="BU93">
        <v>1.22</v>
      </c>
      <c r="BV93">
        <v>19.2</v>
      </c>
      <c r="BW93" s="212">
        <f>LN(BU93)/BV93</f>
        <v>1.035681555964402E-2</v>
      </c>
      <c r="CA93" s="207">
        <v>50</v>
      </c>
      <c r="CB93" s="209">
        <f t="shared" si="88"/>
        <v>0.125</v>
      </c>
      <c r="CC93" s="208">
        <v>14.285714285714285</v>
      </c>
      <c r="CD93" s="208">
        <f t="shared" si="86"/>
        <v>26.285714285714285</v>
      </c>
      <c r="CE93" s="21">
        <f t="shared" si="87"/>
        <v>15.397207708399179</v>
      </c>
      <c r="CF93" s="21"/>
      <c r="CP93" s="354"/>
      <c r="CQ93" s="354"/>
      <c r="CR93" s="354"/>
      <c r="CS93" s="354"/>
    </row>
    <row r="94" spans="34:140">
      <c r="BC94" s="374"/>
      <c r="BU94">
        <v>1.08</v>
      </c>
      <c r="BV94">
        <v>19.399999999999999</v>
      </c>
      <c r="BW94" s="212">
        <f>LN(BU94)/BV94</f>
        <v>3.9670639760890931E-3</v>
      </c>
      <c r="CA94" s="207">
        <v>100</v>
      </c>
      <c r="CB94" s="209">
        <f t="shared" si="88"/>
        <v>0.25</v>
      </c>
      <c r="CC94" s="208">
        <v>12.5</v>
      </c>
      <c r="CD94" s="208">
        <f t="shared" si="86"/>
        <v>24.5</v>
      </c>
      <c r="CE94" s="21">
        <f t="shared" si="87"/>
        <v>11.931471805599454</v>
      </c>
      <c r="CF94" s="21"/>
    </row>
    <row r="95" spans="34:140">
      <c r="BC95" s="374"/>
      <c r="BU95">
        <v>0.83</v>
      </c>
      <c r="BV95">
        <v>23.1</v>
      </c>
      <c r="BW95" s="212">
        <f>LN(BU95)/BV95</f>
        <v>-8.0662155061252579E-3</v>
      </c>
      <c r="BZ95" s="47"/>
      <c r="CA95" s="207">
        <v>150</v>
      </c>
      <c r="CB95" s="209">
        <f t="shared" si="88"/>
        <v>0.375</v>
      </c>
      <c r="CC95" s="208">
        <v>10.526315789473685</v>
      </c>
      <c r="CD95" s="208">
        <f t="shared" si="86"/>
        <v>22.526315789473685</v>
      </c>
      <c r="CE95" s="21">
        <f t="shared" si="87"/>
        <v>9.9041462650586318</v>
      </c>
      <c r="CF95" s="21"/>
    </row>
    <row r="96" spans="34:140" ht="16" customHeight="1">
      <c r="BC96" s="374"/>
      <c r="BX96" s="39"/>
      <c r="BZ96" s="47"/>
      <c r="CA96" s="207">
        <v>200</v>
      </c>
      <c r="CB96" s="209">
        <f t="shared" si="88"/>
        <v>0.5</v>
      </c>
      <c r="CC96" s="208">
        <v>9.0909090909090917</v>
      </c>
      <c r="CD96" s="208">
        <f t="shared" si="86"/>
        <v>21.090909090909093</v>
      </c>
      <c r="CE96" s="21">
        <f t="shared" si="87"/>
        <v>8.465735902799727</v>
      </c>
      <c r="CF96" s="21"/>
    </row>
    <row r="97" spans="65:133">
      <c r="BZ97" s="47"/>
      <c r="CA97" s="207">
        <v>250</v>
      </c>
      <c r="CB97" s="209">
        <f t="shared" si="88"/>
        <v>0.625</v>
      </c>
      <c r="CC97" s="208">
        <v>7.6923076923076916</v>
      </c>
      <c r="CD97" s="208">
        <f t="shared" si="86"/>
        <v>19.692307692307693</v>
      </c>
      <c r="CE97" s="21">
        <f t="shared" si="87"/>
        <v>7.3500181462286776</v>
      </c>
      <c r="CF97" s="21"/>
    </row>
    <row r="98" spans="65:133">
      <c r="BZ98" s="47"/>
      <c r="CA98" s="207">
        <v>300</v>
      </c>
      <c r="CB98" s="209">
        <f t="shared" si="88"/>
        <v>0.75</v>
      </c>
      <c r="CC98" s="208">
        <v>6.666666666666667</v>
      </c>
      <c r="CD98" s="208">
        <f t="shared" si="86"/>
        <v>18.666666666666668</v>
      </c>
      <c r="CE98" s="21">
        <f t="shared" si="87"/>
        <v>6.4384103622589048</v>
      </c>
      <c r="CF98" s="21"/>
    </row>
    <row r="99" spans="65:133">
      <c r="BZ99" s="17"/>
      <c r="CA99" s="207">
        <v>350</v>
      </c>
      <c r="CB99" s="209">
        <f t="shared" si="88"/>
        <v>0.875</v>
      </c>
      <c r="CC99" s="208">
        <v>4.2105263157894735</v>
      </c>
      <c r="CD99" s="208">
        <f t="shared" si="86"/>
        <v>16.210526315789473</v>
      </c>
      <c r="CE99" s="21">
        <f t="shared" si="87"/>
        <v>5.6676569631226128</v>
      </c>
      <c r="CF99" s="21"/>
      <c r="CH99" s="163"/>
      <c r="CI99" s="163"/>
      <c r="CJ99" s="163"/>
      <c r="CK99" s="163"/>
      <c r="CL99" s="163"/>
    </row>
    <row r="100" spans="65:133" ht="16" customHeight="1">
      <c r="BY100" s="365"/>
      <c r="BZ100" s="17"/>
      <c r="CA100" s="207">
        <v>400</v>
      </c>
      <c r="CB100" s="209">
        <f t="shared" si="88"/>
        <v>1</v>
      </c>
      <c r="CC100" s="208">
        <v>3.6363636363636367</v>
      </c>
      <c r="CD100" s="208">
        <f t="shared" si="86"/>
        <v>15.636363636363637</v>
      </c>
      <c r="CE100" s="21">
        <f t="shared" si="87"/>
        <v>5</v>
      </c>
      <c r="CF100" s="21"/>
      <c r="CH100" s="163"/>
      <c r="CI100" s="163"/>
      <c r="CJ100" s="163"/>
      <c r="CK100" s="163"/>
      <c r="CL100" s="163"/>
    </row>
    <row r="101" spans="65:133" ht="16" customHeight="1">
      <c r="BZ101" s="17"/>
      <c r="CA101" s="207">
        <v>450</v>
      </c>
      <c r="CB101" s="209">
        <f t="shared" si="88"/>
        <v>1.125</v>
      </c>
      <c r="CC101" s="208">
        <v>3.0769230769230771</v>
      </c>
      <c r="CD101" s="208">
        <f t="shared" si="86"/>
        <v>15.076923076923077</v>
      </c>
      <c r="CE101" s="21">
        <f t="shared" si="87"/>
        <v>4.4110848217180827</v>
      </c>
      <c r="CF101" s="21"/>
      <c r="CH101" s="163"/>
      <c r="CI101" s="163"/>
      <c r="CJ101" s="163"/>
      <c r="CK101" s="163"/>
      <c r="CL101" s="163"/>
    </row>
    <row r="102" spans="65:133">
      <c r="BM102" s="23"/>
      <c r="BZ102" s="17"/>
      <c r="CA102" s="207">
        <v>500</v>
      </c>
      <c r="CB102" s="209">
        <f t="shared" si="88"/>
        <v>1.25</v>
      </c>
      <c r="CC102" s="208">
        <v>2.8571428571428572</v>
      </c>
      <c r="CD102" s="208">
        <f t="shared" si="86"/>
        <v>14.857142857142858</v>
      </c>
      <c r="CE102" s="21">
        <f t="shared" si="87"/>
        <v>3.8842822434289515</v>
      </c>
      <c r="CF102" s="21"/>
      <c r="CH102" s="163"/>
      <c r="CI102" s="163"/>
      <c r="CJ102" s="163"/>
      <c r="CK102" s="163"/>
      <c r="CL102" s="163"/>
    </row>
    <row r="103" spans="65:133">
      <c r="BM103" s="23"/>
      <c r="BZ103" s="17"/>
      <c r="CA103" s="207">
        <v>550</v>
      </c>
      <c r="CB103" s="209">
        <f t="shared" si="88"/>
        <v>1.375</v>
      </c>
      <c r="CC103" s="208">
        <v>1.8181818181818181</v>
      </c>
      <c r="CD103" s="208">
        <f t="shared" si="86"/>
        <v>13.818181818181818</v>
      </c>
      <c r="CE103" s="21">
        <f t="shared" si="87"/>
        <v>3.4077313444073272</v>
      </c>
      <c r="CF103" s="21"/>
      <c r="CH103" s="163"/>
      <c r="CI103" s="163"/>
      <c r="CJ103" s="163"/>
      <c r="CK103" s="163"/>
      <c r="CL103" s="163"/>
      <c r="DV103" s="17"/>
      <c r="DW103" s="17"/>
    </row>
    <row r="104" spans="65:133" ht="16" customHeight="1">
      <c r="BM104" s="23"/>
      <c r="BZ104" s="17"/>
      <c r="CA104" s="207">
        <v>600</v>
      </c>
      <c r="CB104" s="209">
        <f t="shared" si="88"/>
        <v>1.5</v>
      </c>
      <c r="CC104" s="208">
        <v>1.6216216216216215</v>
      </c>
      <c r="CD104" s="208">
        <f t="shared" si="86"/>
        <v>13.621621621621621</v>
      </c>
      <c r="CE104" s="21">
        <f t="shared" si="87"/>
        <v>2.9726744594591779</v>
      </c>
      <c r="CF104" s="21"/>
      <c r="CH104" s="49"/>
      <c r="CI104" s="49"/>
      <c r="CJ104" s="49"/>
      <c r="CK104" s="49"/>
      <c r="CL104" s="49"/>
      <c r="CM104" s="49"/>
      <c r="CN104" s="49"/>
      <c r="CO104" s="49"/>
      <c r="CP104" s="49"/>
      <c r="CQ104" s="49"/>
      <c r="CR104" s="49"/>
      <c r="CS104" s="49"/>
      <c r="CT104" s="49"/>
      <c r="CU104" s="49"/>
      <c r="CV104" s="49"/>
      <c r="CW104" s="49"/>
    </row>
    <row r="105" spans="65:133">
      <c r="BM105" s="23"/>
      <c r="BZ105" s="17">
        <v>1.4</v>
      </c>
      <c r="CA105" s="43">
        <v>800</v>
      </c>
      <c r="CB105" s="210">
        <f t="shared" si="88"/>
        <v>2</v>
      </c>
      <c r="CC105" s="43">
        <v>1.4</v>
      </c>
      <c r="CD105" s="62">
        <f t="shared" si="86"/>
        <v>13.4</v>
      </c>
      <c r="CE105" s="21">
        <f t="shared" si="87"/>
        <v>1.5342640972002735</v>
      </c>
      <c r="CF105" s="21"/>
      <c r="CH105" s="49"/>
      <c r="CI105" s="49"/>
      <c r="CJ105" s="49"/>
      <c r="CK105" s="49"/>
      <c r="CL105" s="49"/>
      <c r="CM105" s="49"/>
      <c r="CN105" s="49"/>
      <c r="CO105" s="49"/>
      <c r="CP105" s="49"/>
      <c r="CQ105" s="49"/>
      <c r="CR105" s="49"/>
      <c r="CS105" s="49"/>
      <c r="CT105" s="49"/>
      <c r="CU105" s="49"/>
      <c r="CV105" s="49"/>
      <c r="CW105" s="49"/>
    </row>
    <row r="106" spans="65:133">
      <c r="BM106" s="23"/>
      <c r="BZ106" s="17">
        <v>1</v>
      </c>
      <c r="CA106" s="43">
        <v>1000</v>
      </c>
      <c r="CB106" s="210">
        <f t="shared" si="88"/>
        <v>2.5</v>
      </c>
      <c r="CC106" s="43">
        <v>1</v>
      </c>
      <c r="CD106" s="62">
        <f t="shared" si="86"/>
        <v>13</v>
      </c>
      <c r="CE106" s="21">
        <f t="shared" si="87"/>
        <v>0.41854634062922447</v>
      </c>
      <c r="CF106" s="21"/>
      <c r="CH106" s="49"/>
      <c r="CI106" s="49"/>
      <c r="CJ106" s="49"/>
      <c r="CK106" s="49"/>
      <c r="CL106" s="49"/>
      <c r="CM106" s="49"/>
      <c r="CN106" s="49"/>
      <c r="CO106" s="49"/>
      <c r="CP106" s="49"/>
      <c r="CQ106" s="49"/>
      <c r="CR106" s="49"/>
      <c r="CS106" s="49"/>
      <c r="CT106" s="49"/>
      <c r="CU106" s="49"/>
      <c r="CV106" s="49"/>
      <c r="CW106" s="49"/>
      <c r="DX106" s="5"/>
      <c r="DY106" s="5"/>
      <c r="DZ106" s="5"/>
      <c r="EA106" s="5"/>
      <c r="EB106" s="5"/>
    </row>
    <row r="107" spans="65:133">
      <c r="BM107" s="23"/>
      <c r="BZ107" s="17">
        <v>0.5</v>
      </c>
      <c r="CA107" s="43">
        <v>1200</v>
      </c>
      <c r="CB107" s="210">
        <f t="shared" si="88"/>
        <v>3</v>
      </c>
      <c r="CC107" s="43">
        <v>0.5</v>
      </c>
      <c r="CD107" s="62">
        <f t="shared" si="86"/>
        <v>12.5</v>
      </c>
      <c r="CE107" s="21">
        <f t="shared" si="87"/>
        <v>-0.49306144334054913</v>
      </c>
      <c r="CF107" s="21"/>
      <c r="EC107" s="23"/>
    </row>
    <row r="108" spans="65:133">
      <c r="BM108" s="23"/>
      <c r="BZ108" s="17"/>
      <c r="CC108" s="83"/>
      <c r="CD108" s="21"/>
      <c r="CE108" s="88"/>
      <c r="CF108" s="88"/>
      <c r="CG108" s="89"/>
      <c r="EC108" s="23"/>
    </row>
    <row r="109" spans="65:133">
      <c r="BM109" s="23"/>
      <c r="BZ109" s="47"/>
      <c r="CC109" s="83"/>
      <c r="CD109" s="21"/>
      <c r="CE109" s="88"/>
      <c r="CF109" s="88"/>
      <c r="CG109" s="89"/>
      <c r="EC109" s="23"/>
    </row>
    <row r="110" spans="65:133">
      <c r="BM110" s="23"/>
      <c r="BZ110" s="47"/>
      <c r="CC110" s="83"/>
      <c r="CD110" s="21"/>
      <c r="CE110" s="88"/>
      <c r="CF110" s="88"/>
      <c r="CG110" s="89"/>
      <c r="EC110" s="23"/>
    </row>
    <row r="111" spans="65:133">
      <c r="BM111" s="23"/>
      <c r="BZ111" s="47"/>
      <c r="CC111" s="83"/>
      <c r="CD111" s="21"/>
      <c r="CE111" s="88"/>
      <c r="CF111" s="88"/>
      <c r="CG111" s="89"/>
    </row>
    <row r="112" spans="65:133">
      <c r="BM112" s="23"/>
      <c r="BZ112" s="47"/>
      <c r="CC112" s="83"/>
      <c r="CD112" s="21"/>
      <c r="CE112" s="88"/>
      <c r="CF112" s="88"/>
      <c r="CG112" s="89"/>
    </row>
    <row r="113" spans="65:122">
      <c r="BM113" s="23"/>
      <c r="BZ113" s="47"/>
      <c r="CC113" s="83"/>
      <c r="CD113" s="21"/>
      <c r="CE113" s="88"/>
      <c r="CF113" s="88"/>
      <c r="CG113" s="89"/>
    </row>
    <row r="114" spans="65:122">
      <c r="BM114" s="23"/>
      <c r="BZ114" s="47"/>
      <c r="CC114" s="83"/>
      <c r="CD114" s="21"/>
      <c r="CE114" s="88"/>
      <c r="CF114" s="88"/>
      <c r="CG114" s="89"/>
    </row>
    <row r="115" spans="65:122">
      <c r="BZ115" s="47"/>
      <c r="CC115" s="83"/>
      <c r="CD115" s="21"/>
      <c r="CE115" s="88"/>
      <c r="CF115" s="88"/>
      <c r="CG115" s="89"/>
      <c r="DP115" s="13"/>
      <c r="DQ115" s="277"/>
      <c r="DR115" s="13"/>
    </row>
    <row r="116" spans="65:122">
      <c r="BZ116" s="47"/>
      <c r="CC116" s="83"/>
      <c r="CD116" s="21"/>
      <c r="CE116" s="88"/>
      <c r="CF116" s="88"/>
      <c r="CG116" s="89"/>
      <c r="DP116" s="13"/>
      <c r="DQ116" s="277"/>
      <c r="DR116" s="13"/>
    </row>
    <row r="117" spans="65:122">
      <c r="BM117" s="23"/>
      <c r="BZ117" s="47"/>
      <c r="CC117" s="83"/>
      <c r="CD117" s="21"/>
      <c r="CE117" s="88"/>
      <c r="CF117" s="88"/>
      <c r="CG117" s="89"/>
      <c r="DP117" s="13"/>
      <c r="DQ117" s="277"/>
      <c r="DR117" s="13"/>
    </row>
    <row r="118" spans="65:122">
      <c r="BM118" s="23"/>
      <c r="BZ118" s="47"/>
      <c r="DP118" s="13"/>
      <c r="DQ118" s="277"/>
      <c r="DR118" s="13"/>
    </row>
    <row r="119" spans="65:122">
      <c r="BM119" s="23"/>
      <c r="BZ119" s="47"/>
      <c r="DP119" s="13"/>
      <c r="DQ119" s="277"/>
      <c r="DR119" s="13"/>
    </row>
    <row r="120" spans="65:122">
      <c r="DP120" s="13"/>
      <c r="DQ120" s="277"/>
      <c r="DR120" s="13"/>
    </row>
    <row r="121" spans="65:122">
      <c r="DP121" s="13"/>
      <c r="DQ121" s="277"/>
      <c r="DR121" s="13"/>
    </row>
    <row r="122" spans="65:122">
      <c r="DB122" s="5"/>
      <c r="DP122" s="13"/>
      <c r="DQ122" s="277"/>
      <c r="DR122" s="13"/>
    </row>
    <row r="123" spans="65:122">
      <c r="DB123" s="5"/>
      <c r="DP123" s="13"/>
      <c r="DQ123" s="277"/>
      <c r="DR123" s="13"/>
    </row>
    <row r="124" spans="65:122">
      <c r="DB124" s="5"/>
      <c r="DP124" s="13"/>
      <c r="DQ124" s="277"/>
      <c r="DR124" s="13"/>
    </row>
    <row r="125" spans="65:122">
      <c r="DB125" s="5"/>
      <c r="DP125" s="13"/>
      <c r="DQ125" s="277"/>
      <c r="DR125" s="13"/>
    </row>
    <row r="126" spans="65:122">
      <c r="DB126" s="5"/>
      <c r="DP126" s="13"/>
      <c r="DQ126" s="277"/>
      <c r="DR126" s="13"/>
    </row>
    <row r="127" spans="65:122">
      <c r="BZ127"/>
      <c r="DB127" s="5"/>
      <c r="DP127" s="13"/>
      <c r="DQ127" s="277"/>
      <c r="DR127" s="13"/>
    </row>
    <row r="128" spans="65:122">
      <c r="BT128" s="16"/>
      <c r="BU128" s="16"/>
      <c r="BV128" s="16"/>
      <c r="BW128" s="16"/>
      <c r="BZ128"/>
      <c r="DB128" s="5"/>
      <c r="DP128" s="13"/>
      <c r="DQ128" s="277"/>
      <c r="DR128" s="13"/>
    </row>
    <row r="129" spans="75:122">
      <c r="BW129" s="24"/>
      <c r="BZ129"/>
      <c r="DB129" s="5"/>
      <c r="DP129" s="13"/>
      <c r="DQ129" s="277"/>
      <c r="DR129" s="13"/>
    </row>
    <row r="130" spans="75:122">
      <c r="BW130" s="24"/>
      <c r="BZ130"/>
      <c r="DB130" s="5"/>
      <c r="DP130" s="13"/>
      <c r="DQ130" s="277"/>
      <c r="DR130" s="13"/>
    </row>
    <row r="131" spans="75:122">
      <c r="BW131" s="24"/>
      <c r="BZ131"/>
      <c r="DB131" s="5"/>
      <c r="DP131" s="13"/>
      <c r="DQ131" s="277"/>
      <c r="DR131" s="13"/>
    </row>
    <row r="132" spans="75:122">
      <c r="BW132" s="24"/>
      <c r="BZ132"/>
      <c r="DB132" s="5"/>
      <c r="DP132" s="13"/>
      <c r="DQ132" s="277"/>
      <c r="DR132" s="13"/>
    </row>
    <row r="133" spans="75:122">
      <c r="BW133" s="24"/>
      <c r="BZ133"/>
      <c r="DB133" s="5"/>
      <c r="DP133" s="13"/>
      <c r="DQ133" s="277"/>
      <c r="DR133" s="13"/>
    </row>
    <row r="134" spans="75:122">
      <c r="BW134" s="24"/>
      <c r="BZ134"/>
      <c r="DB134" s="5"/>
      <c r="DP134" s="13"/>
      <c r="DQ134" s="277"/>
      <c r="DR134" s="13"/>
    </row>
    <row r="135" spans="75:122">
      <c r="BW135" s="24"/>
      <c r="BZ135"/>
      <c r="DB135" s="5"/>
      <c r="DP135" s="13"/>
      <c r="DQ135" s="277"/>
      <c r="DR135" s="13"/>
    </row>
    <row r="136" spans="75:122">
      <c r="BW136" s="24"/>
      <c r="BZ136"/>
      <c r="DB136" s="5"/>
      <c r="DP136" s="13"/>
      <c r="DQ136" s="277"/>
      <c r="DR136" s="13"/>
    </row>
    <row r="137" spans="75:122">
      <c r="BW137" s="24"/>
      <c r="BZ137"/>
      <c r="DB137" s="5"/>
      <c r="DP137" s="13"/>
      <c r="DQ137" s="277"/>
      <c r="DR137" s="13"/>
    </row>
    <row r="138" spans="75:122">
      <c r="BW138" s="24"/>
      <c r="BZ138"/>
      <c r="DB138" s="5"/>
      <c r="DP138" s="13"/>
      <c r="DQ138" s="277"/>
      <c r="DR138" s="13"/>
    </row>
    <row r="139" spans="75:122">
      <c r="BW139" s="24"/>
      <c r="BZ139"/>
    </row>
    <row r="140" spans="75:122">
      <c r="BW140" s="24"/>
      <c r="BZ140"/>
    </row>
    <row r="141" spans="75:122">
      <c r="BX141"/>
      <c r="BY141"/>
      <c r="BZ141"/>
    </row>
    <row r="142" spans="75:122">
      <c r="BX142"/>
      <c r="BY142"/>
      <c r="BZ142"/>
    </row>
    <row r="143" spans="75:122">
      <c r="BX143"/>
      <c r="BY143"/>
      <c r="BZ143"/>
    </row>
    <row r="144" spans="75:122">
      <c r="BX144"/>
      <c r="BY144"/>
      <c r="BZ144"/>
    </row>
    <row r="145" spans="55:143">
      <c r="BC145" s="374"/>
      <c r="BX145"/>
      <c r="BY145"/>
      <c r="BZ145"/>
    </row>
    <row r="146" spans="55:143">
      <c r="BC146" s="374"/>
      <c r="BX146"/>
      <c r="BY146"/>
      <c r="BZ146"/>
    </row>
    <row r="147" spans="55:143" s="5" customFormat="1">
      <c r="BC147" s="374"/>
      <c r="BW147"/>
      <c r="BX147"/>
      <c r="BY147"/>
      <c r="CM147"/>
      <c r="CN147"/>
      <c r="CO147"/>
      <c r="CP147"/>
      <c r="CQ147"/>
      <c r="CR147"/>
      <c r="CS147"/>
      <c r="CT147"/>
      <c r="CU147"/>
      <c r="CV147"/>
      <c r="CW147"/>
      <c r="CX147"/>
      <c r="CY147"/>
      <c r="CZ147"/>
      <c r="DA147"/>
      <c r="DB147"/>
      <c r="DC147"/>
      <c r="DD147"/>
      <c r="DE147"/>
      <c r="DF147"/>
      <c r="DG147"/>
      <c r="DH147"/>
      <c r="DI147"/>
      <c r="DJ147"/>
      <c r="DK147"/>
      <c r="DL147"/>
      <c r="DM147"/>
      <c r="DN147"/>
      <c r="DO147"/>
      <c r="DP147" s="14"/>
      <c r="DQ147" s="46"/>
      <c r="DR147" s="14"/>
      <c r="DS147"/>
      <c r="DT147"/>
      <c r="DU147"/>
      <c r="DV147"/>
      <c r="DW147"/>
      <c r="DX147"/>
      <c r="DY147"/>
      <c r="DZ147"/>
      <c r="EA147"/>
      <c r="EB147"/>
      <c r="EC147"/>
      <c r="ED147"/>
      <c r="EE147"/>
      <c r="EF147"/>
      <c r="EG147"/>
      <c r="EH147"/>
      <c r="EI147"/>
      <c r="EJ147"/>
      <c r="EK147"/>
      <c r="EL147"/>
      <c r="EM147"/>
    </row>
    <row r="148" spans="55:143" s="5" customFormat="1">
      <c r="BC148" s="374"/>
      <c r="BP148"/>
      <c r="BQ148"/>
      <c r="BR148"/>
      <c r="BS148"/>
      <c r="BT148"/>
      <c r="BU148"/>
      <c r="BV148"/>
      <c r="BW148"/>
      <c r="BZ148" s="47"/>
      <c r="CA148"/>
      <c r="CB148"/>
      <c r="CC148" s="24"/>
      <c r="CD148" s="23"/>
      <c r="CE148"/>
      <c r="CF148"/>
      <c r="CM148"/>
      <c r="CN148"/>
      <c r="CO148"/>
      <c r="CP148"/>
      <c r="CQ148"/>
      <c r="CR148"/>
      <c r="CS148"/>
      <c r="CT148"/>
      <c r="CU148"/>
      <c r="CV148"/>
      <c r="CW148"/>
      <c r="CX148"/>
      <c r="CY148"/>
      <c r="CZ148"/>
      <c r="DA148"/>
      <c r="DB148"/>
      <c r="DC148"/>
      <c r="DD148"/>
      <c r="DE148"/>
      <c r="DF148"/>
      <c r="DG148"/>
      <c r="DH148"/>
      <c r="DI148"/>
      <c r="DJ148"/>
      <c r="DK148"/>
      <c r="DL148"/>
      <c r="DM148"/>
      <c r="DN148"/>
      <c r="DO148"/>
      <c r="DP148" s="14"/>
      <c r="DQ148" s="46"/>
      <c r="DR148" s="14"/>
      <c r="DS148"/>
      <c r="DT148"/>
      <c r="DU148"/>
      <c r="DV148"/>
      <c r="DW148"/>
      <c r="DX148"/>
      <c r="DY148"/>
      <c r="DZ148"/>
      <c r="EA148"/>
      <c r="EB148"/>
      <c r="EC148"/>
      <c r="ED148"/>
      <c r="EE148"/>
      <c r="EF148"/>
      <c r="EG148"/>
      <c r="EH148"/>
      <c r="EI148"/>
      <c r="EJ148"/>
      <c r="EK148"/>
      <c r="EL148"/>
      <c r="EM148"/>
    </row>
    <row r="149" spans="55:143" s="5" customFormat="1">
      <c r="BC149" s="374"/>
      <c r="BP149"/>
      <c r="BQ149"/>
      <c r="BR149"/>
      <c r="BS149"/>
      <c r="BT149"/>
      <c r="BU149"/>
      <c r="BV149"/>
      <c r="BW149"/>
      <c r="BZ149" s="47"/>
      <c r="CA149"/>
      <c r="CB149"/>
      <c r="CC149" s="24"/>
      <c r="CD149" s="23"/>
      <c r="CE149"/>
      <c r="CF149"/>
      <c r="CM149"/>
      <c r="CN149"/>
      <c r="CO149"/>
      <c r="CP149"/>
      <c r="CQ149"/>
      <c r="CR149"/>
      <c r="CS149"/>
      <c r="CT149"/>
      <c r="CU149"/>
      <c r="CV149"/>
      <c r="CW149"/>
      <c r="CX149"/>
      <c r="CY149"/>
      <c r="CZ149"/>
      <c r="DA149"/>
      <c r="DB149"/>
      <c r="DC149"/>
      <c r="DD149"/>
      <c r="DE149"/>
      <c r="DF149"/>
      <c r="DG149"/>
      <c r="DH149"/>
      <c r="DI149"/>
      <c r="DJ149"/>
      <c r="DK149"/>
      <c r="DL149"/>
      <c r="DM149"/>
      <c r="DN149"/>
      <c r="DO149"/>
      <c r="DP149" s="14"/>
      <c r="DQ149" s="46"/>
      <c r="DR149" s="14"/>
      <c r="DS149"/>
      <c r="DT149"/>
      <c r="DU149"/>
      <c r="DV149"/>
      <c r="DW149"/>
      <c r="DX149"/>
      <c r="DY149"/>
      <c r="DZ149"/>
      <c r="EA149"/>
      <c r="EB149"/>
      <c r="EC149"/>
      <c r="ED149"/>
      <c r="EE149"/>
      <c r="EF149"/>
      <c r="EG149"/>
      <c r="EH149"/>
      <c r="EI149"/>
      <c r="EJ149"/>
      <c r="EK149"/>
      <c r="EL149"/>
      <c r="EM149"/>
    </row>
    <row r="150" spans="55:143" s="5" customFormat="1">
      <c r="BC150" s="374"/>
      <c r="BP150"/>
      <c r="BQ150"/>
      <c r="BR150"/>
      <c r="BS150"/>
      <c r="BT150"/>
      <c r="BU150"/>
      <c r="BV150"/>
      <c r="BW150"/>
      <c r="BZ150" s="47"/>
      <c r="CA150"/>
      <c r="CB150"/>
      <c r="CC150" s="24"/>
      <c r="CD150" s="23"/>
      <c r="CE150"/>
      <c r="CF150"/>
      <c r="CM150"/>
      <c r="CN150"/>
      <c r="CO150"/>
      <c r="CP150"/>
      <c r="CQ150"/>
      <c r="CR150"/>
      <c r="CS150"/>
      <c r="CT150"/>
      <c r="CU150"/>
      <c r="CV150"/>
      <c r="CW150"/>
      <c r="CX150"/>
      <c r="CY150"/>
      <c r="CZ150"/>
      <c r="DA150"/>
      <c r="DB150"/>
      <c r="DC150"/>
      <c r="DD150"/>
      <c r="DE150"/>
      <c r="DF150"/>
      <c r="DG150"/>
      <c r="DH150"/>
      <c r="DI150"/>
      <c r="DJ150"/>
      <c r="DK150"/>
      <c r="DL150"/>
      <c r="DM150"/>
      <c r="DN150"/>
      <c r="DO150"/>
      <c r="DP150" s="14"/>
      <c r="DQ150" s="46"/>
      <c r="DR150" s="14"/>
      <c r="DS150"/>
      <c r="DT150"/>
      <c r="DU150"/>
      <c r="DV150"/>
      <c r="DW150"/>
      <c r="DX150"/>
      <c r="DY150"/>
      <c r="DZ150"/>
      <c r="EA150"/>
      <c r="EB150"/>
      <c r="EC150"/>
      <c r="ED150"/>
      <c r="EE150"/>
      <c r="EF150"/>
      <c r="EG150"/>
      <c r="EH150"/>
      <c r="EI150"/>
      <c r="EJ150"/>
      <c r="EK150"/>
      <c r="EL150"/>
      <c r="EM150"/>
    </row>
    <row r="151" spans="55:143" s="5" customFormat="1">
      <c r="BC151" s="374"/>
      <c r="BP151"/>
      <c r="BQ151"/>
      <c r="BR151"/>
      <c r="BS151"/>
      <c r="BT151"/>
      <c r="BU151"/>
      <c r="BV151"/>
      <c r="BW151"/>
      <c r="BZ151" s="47"/>
      <c r="CA151"/>
      <c r="CB151"/>
      <c r="CC151" s="24"/>
      <c r="CD151" s="23"/>
      <c r="CE151"/>
      <c r="CF151"/>
      <c r="CM151"/>
      <c r="CN151"/>
      <c r="CO151"/>
      <c r="CP151"/>
      <c r="CQ151"/>
      <c r="CR151"/>
      <c r="CS151"/>
      <c r="CT151"/>
      <c r="CU151"/>
      <c r="CV151"/>
      <c r="CW151"/>
      <c r="CX151"/>
      <c r="CY151"/>
      <c r="CZ151"/>
      <c r="DA151"/>
      <c r="DB151"/>
      <c r="DC151"/>
      <c r="DD151"/>
      <c r="DE151"/>
      <c r="DF151"/>
      <c r="DG151"/>
      <c r="DH151"/>
      <c r="DI151"/>
      <c r="DJ151"/>
      <c r="DK151"/>
      <c r="DL151"/>
      <c r="DM151"/>
      <c r="DN151"/>
      <c r="DO151"/>
      <c r="DP151" s="14"/>
      <c r="DQ151" s="46"/>
      <c r="DR151" s="14"/>
      <c r="DS151"/>
      <c r="DT151"/>
      <c r="DU151"/>
      <c r="DV151"/>
      <c r="DW151"/>
      <c r="DX151"/>
      <c r="DY151"/>
      <c r="DZ151"/>
      <c r="EA151"/>
      <c r="EB151"/>
      <c r="EC151"/>
      <c r="ED151"/>
      <c r="EE151"/>
      <c r="EF151"/>
      <c r="EG151"/>
      <c r="EH151"/>
      <c r="EI151"/>
      <c r="EJ151"/>
      <c r="EK151"/>
      <c r="EL151"/>
      <c r="EM151"/>
    </row>
    <row r="152" spans="55:143" s="5" customFormat="1">
      <c r="BC152" s="374"/>
      <c r="BP152"/>
      <c r="BQ152"/>
      <c r="BR152"/>
      <c r="BS152"/>
      <c r="BT152"/>
      <c r="BU152"/>
      <c r="BV152"/>
      <c r="BW152"/>
      <c r="BZ152" s="47"/>
      <c r="CA152"/>
      <c r="CB152"/>
      <c r="CC152" s="24"/>
      <c r="CD152" s="23"/>
      <c r="CE152"/>
      <c r="CF152"/>
      <c r="CM152"/>
      <c r="CN152"/>
      <c r="CO152"/>
      <c r="CP152"/>
      <c r="CQ152"/>
      <c r="CR152"/>
      <c r="CS152"/>
      <c r="CT152"/>
      <c r="CU152"/>
      <c r="CV152"/>
      <c r="CW152"/>
      <c r="CX152"/>
      <c r="CY152"/>
      <c r="CZ152"/>
      <c r="DA152"/>
      <c r="DB152"/>
      <c r="DC152"/>
      <c r="DD152"/>
      <c r="DE152"/>
      <c r="DF152"/>
      <c r="DG152"/>
      <c r="DH152"/>
      <c r="DI152"/>
      <c r="DJ152"/>
      <c r="DK152"/>
      <c r="DL152"/>
      <c r="DM152"/>
      <c r="DN152"/>
      <c r="DO152"/>
      <c r="DP152" s="14"/>
      <c r="DQ152" s="46"/>
      <c r="DR152" s="14"/>
      <c r="DS152"/>
      <c r="DT152"/>
      <c r="DU152"/>
      <c r="DV152"/>
      <c r="DW152"/>
      <c r="DX152"/>
      <c r="DY152"/>
      <c r="DZ152"/>
      <c r="EA152"/>
      <c r="EB152"/>
      <c r="EC152"/>
      <c r="ED152"/>
      <c r="EE152"/>
      <c r="EF152"/>
      <c r="EG152"/>
      <c r="EH152"/>
      <c r="EI152"/>
      <c r="EJ152"/>
      <c r="EK152"/>
      <c r="EL152"/>
      <c r="EM152"/>
    </row>
    <row r="153" spans="55:143" s="5" customFormat="1">
      <c r="BC153" s="374"/>
      <c r="BP153"/>
      <c r="BQ153"/>
      <c r="BR153"/>
      <c r="BS153"/>
      <c r="BT153"/>
      <c r="BU153"/>
      <c r="BV153"/>
      <c r="BW153"/>
      <c r="BZ153"/>
      <c r="CA153"/>
      <c r="CB153"/>
      <c r="CC153"/>
      <c r="CD153"/>
      <c r="CE153"/>
      <c r="CF153"/>
      <c r="CM153"/>
      <c r="CN153"/>
      <c r="CO153"/>
      <c r="CP153"/>
      <c r="CQ153"/>
      <c r="CR153"/>
      <c r="CS153"/>
      <c r="CT153"/>
      <c r="CU153"/>
      <c r="CV153"/>
      <c r="CW153"/>
      <c r="CX153"/>
      <c r="CY153"/>
      <c r="CZ153"/>
      <c r="DA153"/>
      <c r="DB153"/>
      <c r="DC153"/>
      <c r="DD153"/>
      <c r="DE153"/>
      <c r="DF153"/>
      <c r="DG153"/>
      <c r="DH153"/>
      <c r="DI153"/>
      <c r="DJ153"/>
      <c r="DK153"/>
      <c r="DL153"/>
      <c r="DM153"/>
      <c r="DN153"/>
      <c r="DO153"/>
      <c r="DP153" s="14"/>
      <c r="DQ153" s="46"/>
      <c r="DR153" s="14"/>
      <c r="DS153"/>
      <c r="DT153"/>
      <c r="DU153"/>
      <c r="DV153"/>
      <c r="DW153"/>
      <c r="DX153"/>
      <c r="DY153"/>
      <c r="DZ153"/>
      <c r="EA153"/>
      <c r="EB153"/>
      <c r="EC153"/>
      <c r="ED153"/>
      <c r="EE153"/>
      <c r="EF153"/>
      <c r="EG153"/>
      <c r="EH153"/>
      <c r="EI153"/>
      <c r="EJ153"/>
      <c r="EK153"/>
      <c r="EL153"/>
      <c r="EM153"/>
    </row>
    <row r="154" spans="55:143">
      <c r="BC154" s="374"/>
      <c r="BZ154"/>
      <c r="CA154"/>
      <c r="CB154"/>
      <c r="CC154"/>
      <c r="CD154"/>
      <c r="CE154"/>
      <c r="CF154"/>
    </row>
    <row r="155" spans="55:143">
      <c r="BC155" s="374"/>
      <c r="CA155"/>
      <c r="CB155"/>
      <c r="CC155" s="24"/>
      <c r="CD155" s="23"/>
      <c r="CE155"/>
      <c r="CF155"/>
    </row>
  </sheetData>
  <sheetProtection selectLockedCells="1"/>
  <customSheetViews>
    <customSheetView guid="{40D14490-07BB-46F3-8435-9C462BE853EE}" scale="90">
      <selection activeCell="D21" sqref="D21:AA21"/>
      <colBreaks count="1" manualBreakCount="1">
        <brk id="66" max="1048575" man="1"/>
      </colBreaks>
      <pageMargins left="0" right="0" top="0" bottom="0" header="0" footer="0"/>
      <pageSetup scale="34" orientation="portrait" r:id="rId1"/>
    </customSheetView>
    <customSheetView guid="{C5ECCA7E-81F6-46F5-BEA0-A5F2DAD22AC9}" scale="90" topLeftCell="A9">
      <selection activeCell="AU38" sqref="AU38"/>
      <colBreaks count="1" manualBreakCount="1">
        <brk id="66" max="1048575" man="1"/>
      </colBreaks>
      <pageMargins left="0" right="0" top="0" bottom="0" header="0" footer="0"/>
      <pageSetup scale="34" orientation="portrait" r:id="rId2"/>
    </customSheetView>
  </customSheetViews>
  <mergeCells count="86">
    <mergeCell ref="DY30:DY35"/>
    <mergeCell ref="DZ30:DZ35"/>
    <mergeCell ref="EA30:EA35"/>
    <mergeCell ref="EB30:EB35"/>
    <mergeCell ref="D52:K52"/>
    <mergeCell ref="D51:I51"/>
    <mergeCell ref="C34:N34"/>
    <mergeCell ref="D50:I50"/>
    <mergeCell ref="C42:N42"/>
    <mergeCell ref="C44:N44"/>
    <mergeCell ref="C43:N43"/>
    <mergeCell ref="C46:I46"/>
    <mergeCell ref="D47:I47"/>
    <mergeCell ref="D48:I48"/>
    <mergeCell ref="D49:I49"/>
    <mergeCell ref="AF2:AY2"/>
    <mergeCell ref="C40:N41"/>
    <mergeCell ref="C38:N39"/>
    <mergeCell ref="C32:N33"/>
    <mergeCell ref="AH25:AW25"/>
    <mergeCell ref="AX25:AY25"/>
    <mergeCell ref="AH26:AW26"/>
    <mergeCell ref="AX26:AY26"/>
    <mergeCell ref="AF3:AJ3"/>
    <mergeCell ref="AC21:AD21"/>
    <mergeCell ref="C21:D21"/>
    <mergeCell ref="E22:AB22"/>
    <mergeCell ref="C37:N37"/>
    <mergeCell ref="AC22:AD25"/>
    <mergeCell ref="C31:N31"/>
    <mergeCell ref="C35:N35"/>
    <mergeCell ref="BY59:BY69"/>
    <mergeCell ref="BO63:BO65"/>
    <mergeCell ref="BB70:BB79"/>
    <mergeCell ref="BX75:CC79"/>
    <mergeCell ref="BH24:BH25"/>
    <mergeCell ref="BI24:BM25"/>
    <mergeCell ref="BH26:BH27"/>
    <mergeCell ref="BI26:BM27"/>
    <mergeCell ref="BB41:BK43"/>
    <mergeCell ref="BB46:BC46"/>
    <mergeCell ref="BE45:BF45"/>
    <mergeCell ref="BC49:BD49"/>
    <mergeCell ref="BB87:BB92"/>
    <mergeCell ref="AH56:AI56"/>
    <mergeCell ref="BO30:BO31"/>
    <mergeCell ref="BH32:BN32"/>
    <mergeCell ref="BO32:BO33"/>
    <mergeCell ref="AH36:AZ36"/>
    <mergeCell ref="AH39:AI39"/>
    <mergeCell ref="BA41:BA42"/>
    <mergeCell ref="AX42:AY42"/>
    <mergeCell ref="AT43:AT44"/>
    <mergeCell ref="AY41:AZ41"/>
    <mergeCell ref="AU43:AY44"/>
    <mergeCell ref="EP4:EQ4"/>
    <mergeCell ref="BI5:BK5"/>
    <mergeCell ref="BO5:BO28"/>
    <mergeCell ref="BH6:BH7"/>
    <mergeCell ref="BI6:BM7"/>
    <mergeCell ref="BH8:BH9"/>
    <mergeCell ref="BI8:BM9"/>
    <mergeCell ref="BH10:BH11"/>
    <mergeCell ref="BI10:BM11"/>
    <mergeCell ref="BH22:BH23"/>
    <mergeCell ref="BI22:BM23"/>
    <mergeCell ref="BH12:BH13"/>
    <mergeCell ref="BI12:BM13"/>
    <mergeCell ref="BH14:BH15"/>
    <mergeCell ref="BI14:BM15"/>
    <mergeCell ref="BH16:BH17"/>
    <mergeCell ref="DV2:DX3"/>
    <mergeCell ref="EC2:EH2"/>
    <mergeCell ref="EJ2:EL2"/>
    <mergeCell ref="DY3:DZ3"/>
    <mergeCell ref="EC3:EE3"/>
    <mergeCell ref="BP2:BT2"/>
    <mergeCell ref="BU2:CD2"/>
    <mergeCell ref="DC2:DD2"/>
    <mergeCell ref="BH4:BM4"/>
    <mergeCell ref="BN4:BO4"/>
    <mergeCell ref="BI16:BM17"/>
    <mergeCell ref="BH18:BH19"/>
    <mergeCell ref="BI18:BM19"/>
    <mergeCell ref="BH20:BH21"/>
    <mergeCell ref="BI20:BM21"/>
  </mergeCells>
  <pageMargins left="0.7" right="0.7" top="0.75" bottom="0" header="0.3" footer="0.3"/>
  <pageSetup scale="34" orientation="portrait" r:id="rId3"/>
  <colBreaks count="1" manualBreakCount="1">
    <brk id="67" max="1048575" man="1"/>
  </col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12DA-5BF0-4924-BD8D-E28079FC8232}">
  <sheetPr>
    <pageSetUpPr autoPageBreaks="0"/>
    <tabColor rgb="FF24594F"/>
  </sheetPr>
  <dimension ref="A2:FL155"/>
  <sheetViews>
    <sheetView topLeftCell="A1" zoomScaleNormal="100" workbookViewId="0" showGridLines="0" zoomScale="90">
      <selection activeCell="B7" sqref="B7"/>
    </sheetView>
  </sheetViews>
  <sheetFormatPr defaultColWidth="10.449" defaultRowHeight="16"/>
  <cols>
    <col min="1" max="1" width="2.862" customWidth="1"/>
    <col min="2" max="2" width="18.202" bestFit="1" customWidth="1"/>
    <col min="3" max="30" width="6.066" customWidth="1"/>
    <col min="31" max="32" width="6.909" customWidth="1"/>
    <col min="33" max="33" width="9.269" customWidth="1"/>
    <col min="34" max="35" width="6.402" customWidth="1"/>
    <col min="36" max="37" width="5.222" customWidth="1"/>
    <col min="38" max="38" width="6.402" customWidth="1"/>
    <col min="39" max="39" width="5.222" customWidth="1"/>
    <col min="40" max="41" width="6.402" customWidth="1"/>
    <col min="42" max="50" width="5.222" customWidth="1"/>
    <col min="51" max="51" width="16.349" customWidth="1"/>
    <col min="52" max="52" width="8.26" customWidth="1"/>
    <col min="53" max="53" width="9.942" customWidth="1"/>
    <col min="54" max="54" width="9.942" style="36" customWidth="1"/>
    <col min="55" max="55" width="9.942" customWidth="1"/>
    <col min="56" max="56" width="10.449" customWidth="1"/>
    <col min="57" max="57" width="14.662" customWidth="1"/>
    <col min="58" max="62" width="15.169" customWidth="1"/>
    <col min="63" max="64" width="12.302" customWidth="1"/>
    <col min="66" max="66" width="12.809" customWidth="1"/>
    <col min="68" max="68" width="9.942" customWidth="1"/>
    <col min="69" max="69" width="12.809" customWidth="1"/>
    <col min="71" max="71" width="12.809" customWidth="1"/>
    <col min="74" max="74" width="12.809" customWidth="1"/>
    <col min="75" max="75" width="10.449" style="5" customWidth="1"/>
    <col min="76" max="83" width="12.809" style="5" customWidth="1"/>
    <col min="84" max="84" width="13.989" style="5" customWidth="1"/>
    <col min="85" max="89" width="12.809" style="5" customWidth="1"/>
    <col min="90" max="100" width="12.809" customWidth="1"/>
    <col min="101" max="101" width="12.302" customWidth="1"/>
    <col min="102" max="102" width="11.629" customWidth="1"/>
    <col min="105" max="105" width="17.7" customWidth="1"/>
    <col min="106" max="106" width="13.482" bestFit="1" customWidth="1"/>
    <col min="107" max="108" width="12.809" customWidth="1"/>
    <col min="109" max="115" width="15.169" customWidth="1"/>
    <col min="116" max="116" width="17.7" customWidth="1"/>
    <col min="117" max="117" width="13.482" customWidth="1"/>
    <col min="118" max="118" width="11.629" customWidth="1"/>
    <col min="119" max="119" width="15.169" style="14" customWidth="1"/>
    <col min="120" max="120" width="15.169" style="46" customWidth="1"/>
    <col min="121" max="121" width="15.169" style="14" customWidth="1"/>
    <col min="122" max="122" width="17.7" customWidth="1"/>
    <col min="123" max="123" width="13.989" customWidth="1"/>
    <col min="124" max="126" width="12.809" customWidth="1"/>
    <col min="127" max="128" width="11.629" customWidth="1"/>
    <col min="129" max="130" width="12.809" customWidth="1"/>
    <col min="131" max="132" width="11.629" customWidth="1"/>
    <col min="133" max="133" width="12.809" customWidth="1"/>
    <col min="134" max="136" width="11.629" customWidth="1"/>
    <col min="137" max="137" width="15.169" customWidth="1"/>
    <col min="138" max="139" width="11.629" customWidth="1"/>
    <col min="140" max="142" width="12.809" customWidth="1"/>
  </cols>
  <sheetData>
    <row r="2" spans="1:168" ht="16.44">
      <c r="AE2" s="393" t="s">
        <v>270</v>
      </c>
      <c r="AF2" s="393"/>
      <c r="AG2" s="393"/>
      <c r="AH2" s="393"/>
      <c r="AI2" s="393"/>
      <c r="AJ2" s="393"/>
      <c r="AK2" s="393"/>
      <c r="AL2" s="393"/>
      <c r="AM2" s="393"/>
      <c r="AN2" s="393"/>
      <c r="AO2" s="393"/>
      <c r="AP2" s="393"/>
      <c r="AQ2" s="393"/>
      <c r="AR2" s="393"/>
      <c r="AS2" s="393"/>
      <c r="AT2" s="393"/>
      <c r="AU2" s="393"/>
      <c r="AV2" s="393"/>
      <c r="AW2" s="393"/>
      <c r="AX2" s="393"/>
      <c r="BB2" s="374"/>
      <c r="BO2" s="382" t="s">
        <v>1</v>
      </c>
      <c r="BP2" s="382"/>
      <c r="BQ2" s="382"/>
      <c r="BR2" s="382"/>
      <c r="BS2" s="382"/>
      <c r="BT2" s="383" t="s">
        <v>2</v>
      </c>
      <c r="BU2" s="383"/>
      <c r="BV2" s="383"/>
      <c r="BW2" s="383"/>
      <c r="BX2" s="383"/>
      <c r="BY2" s="383"/>
      <c r="BZ2" s="383"/>
      <c r="CA2" s="383"/>
      <c r="CB2" s="383"/>
      <c r="CC2" s="383"/>
      <c r="CD2"/>
      <c r="CE2"/>
      <c r="CF2" s="78"/>
      <c r="CG2" s="94" t="s">
        <v>3</v>
      </c>
      <c r="CH2" s="78"/>
      <c r="CI2" s="78"/>
      <c r="CJ2" s="78"/>
      <c r="CK2" s="78"/>
      <c r="CL2" s="78"/>
      <c r="CM2" s="93"/>
      <c r="CN2" s="78"/>
      <c r="CO2" s="78"/>
      <c r="CP2" s="43"/>
      <c r="CQ2" s="95" t="s">
        <v>4</v>
      </c>
      <c r="CR2" s="43"/>
      <c r="CS2" s="43"/>
      <c r="CT2" s="43"/>
      <c r="CU2" s="43"/>
      <c r="CV2" s="43"/>
      <c r="CW2" s="43"/>
      <c r="CX2" s="43"/>
      <c r="CY2" s="43"/>
      <c r="CZ2" s="43"/>
      <c r="DA2" s="110" t="s">
        <v>5</v>
      </c>
      <c r="DB2" s="384" t="s">
        <v>6</v>
      </c>
      <c r="DC2" s="384"/>
      <c r="DD2" s="374"/>
      <c r="DE2" s="361" t="s">
        <v>7</v>
      </c>
      <c r="DF2" s="46"/>
      <c r="DG2" s="46"/>
      <c r="DH2" s="110" t="s">
        <v>8</v>
      </c>
      <c r="DJ2" s="369" t="s">
        <v>9</v>
      </c>
      <c r="DK2" s="369" t="s">
        <v>9</v>
      </c>
      <c r="DL2" s="184" t="s">
        <v>8</v>
      </c>
      <c r="DM2" s="369" t="s">
        <v>9</v>
      </c>
      <c r="DN2" s="374"/>
      <c r="DO2" s="46"/>
      <c r="DQ2" s="369" t="s">
        <v>9</v>
      </c>
      <c r="DR2" s="361" t="s">
        <v>7</v>
      </c>
      <c r="DS2" s="361"/>
      <c r="DU2" s="385" t="s">
        <v>10</v>
      </c>
      <c r="DV2" s="385"/>
      <c r="DW2" s="385"/>
      <c r="EB2" s="387" t="s">
        <v>11</v>
      </c>
      <c r="EC2" s="387"/>
      <c r="ED2" s="387"/>
      <c r="EE2" s="387"/>
      <c r="EF2" s="387"/>
      <c r="EG2" s="387"/>
      <c r="EI2" s="388" t="s">
        <v>12</v>
      </c>
      <c r="EJ2" s="388"/>
      <c r="EK2" s="388"/>
    </row>
    <row r="3" spans="1:168" s="118" customFormat="1" ht="16" customHeight="1">
      <c r="J3" s="118">
        <v>100</v>
      </c>
      <c r="K3" s="118">
        <v>50</v>
      </c>
      <c r="P3" s="118">
        <v>50</v>
      </c>
      <c r="Q3" s="118">
        <v>85</v>
      </c>
      <c r="R3" s="118" t="s">
        <v>13</v>
      </c>
      <c r="AE3" s="452"/>
      <c r="AF3" s="452"/>
      <c r="AG3" s="452"/>
      <c r="AH3" s="452"/>
      <c r="AI3" s="452"/>
      <c r="AJ3" s="204"/>
      <c r="AK3" s="204"/>
      <c r="AL3" s="204"/>
      <c r="AM3" s="204"/>
      <c r="AN3" s="204"/>
      <c r="AO3" s="204"/>
      <c r="AP3" s="204"/>
      <c r="AQ3" s="204"/>
      <c r="AR3" s="204"/>
      <c r="AS3" s="204"/>
      <c r="AT3" s="204"/>
      <c r="AU3" s="204"/>
      <c r="AV3" s="204"/>
      <c r="AW3" s="204"/>
      <c r="AX3" s="204"/>
      <c r="BB3" s="372"/>
      <c r="BE3" s="372" t="s">
        <v>14</v>
      </c>
      <c r="BM3" s="202"/>
      <c r="BN3" s="202"/>
      <c r="BO3" s="203" t="s">
        <v>15</v>
      </c>
      <c r="BP3" s="138"/>
      <c r="BQ3" s="372" t="s">
        <v>14</v>
      </c>
      <c r="BR3" s="138"/>
      <c r="BS3" s="372" t="s">
        <v>14</v>
      </c>
      <c r="BT3" s="372"/>
      <c r="BU3" s="372"/>
      <c r="BV3" s="372" t="s">
        <v>14</v>
      </c>
      <c r="BW3" s="372"/>
      <c r="BX3" s="372" t="s">
        <v>14</v>
      </c>
      <c r="BY3" s="372" t="s">
        <v>14</v>
      </c>
      <c r="BZ3" s="372"/>
      <c r="CA3" s="372"/>
      <c r="CB3" s="372"/>
      <c r="CC3" s="372" t="s">
        <v>14</v>
      </c>
      <c r="CD3" s="138"/>
      <c r="CE3" s="372" t="s">
        <v>14</v>
      </c>
      <c r="CF3" s="372"/>
      <c r="CG3" s="372"/>
      <c r="CH3" s="372"/>
      <c r="CI3" s="372"/>
      <c r="CJ3" s="372" t="s">
        <v>16</v>
      </c>
      <c r="CK3" s="118" t="s">
        <v>16</v>
      </c>
      <c r="CL3" s="372" t="s">
        <v>14</v>
      </c>
      <c r="CM3" s="372" t="s">
        <v>14</v>
      </c>
      <c r="CN3" s="372"/>
      <c r="CO3" s="372"/>
      <c r="CP3" s="372"/>
      <c r="CQ3" s="372"/>
      <c r="CR3" s="372"/>
      <c r="CS3" s="372"/>
      <c r="CT3" s="372" t="s">
        <v>16</v>
      </c>
      <c r="CU3" s="118" t="s">
        <v>16</v>
      </c>
      <c r="CV3" s="372"/>
      <c r="CW3" s="372"/>
      <c r="CX3" s="372" t="s">
        <v>14</v>
      </c>
      <c r="CY3" s="372"/>
      <c r="CZ3" s="372"/>
      <c r="DA3" s="372" t="s">
        <v>14</v>
      </c>
      <c r="DB3" s="372" t="s">
        <v>14</v>
      </c>
      <c r="DC3" s="118" t="s">
        <v>14</v>
      </c>
      <c r="DD3" s="372"/>
      <c r="DE3" s="372"/>
      <c r="DF3" s="200" t="s">
        <v>14</v>
      </c>
      <c r="DG3" s="201" t="s">
        <v>14</v>
      </c>
      <c r="DH3" s="372" t="s">
        <v>14</v>
      </c>
      <c r="DK3" s="372" t="s">
        <v>14</v>
      </c>
      <c r="DL3" s="138" t="s">
        <v>14</v>
      </c>
      <c r="DM3" s="194" t="s">
        <v>14</v>
      </c>
      <c r="DN3" s="372"/>
      <c r="DO3" s="372"/>
      <c r="DP3" s="372"/>
      <c r="DQ3" s="372" t="s">
        <v>14</v>
      </c>
      <c r="DR3" s="372"/>
      <c r="DS3" s="372"/>
      <c r="DT3" s="372"/>
      <c r="DU3" s="385"/>
      <c r="DV3" s="385"/>
      <c r="DW3" s="385"/>
      <c r="DX3" s="389" t="s">
        <v>14</v>
      </c>
      <c r="DY3" s="389"/>
      <c r="DZ3" s="371"/>
      <c r="EA3" s="371"/>
      <c r="EB3" s="390" t="s">
        <v>14</v>
      </c>
      <c r="EC3" s="391"/>
      <c r="ED3" s="391"/>
      <c r="EE3" s="372"/>
      <c r="EF3" s="372" t="s">
        <v>14</v>
      </c>
      <c r="EG3" s="372" t="s">
        <v>14</v>
      </c>
      <c r="EH3" s="372"/>
      <c r="EJ3" s="118" t="s">
        <v>14</v>
      </c>
      <c r="EK3" s="372" t="s">
        <v>14</v>
      </c>
    </row>
    <row r="4" spans="1:168" ht="111.56" customHeight="1">
      <c r="A4" s="283"/>
      <c r="AE4" s="300"/>
      <c r="AF4" s="281"/>
      <c r="AL4" s="190"/>
      <c r="AM4" s="190"/>
      <c r="AN4" s="190"/>
      <c r="AT4" s="190"/>
      <c r="AU4" s="190"/>
      <c r="AV4" s="190"/>
      <c r="AW4" s="190"/>
      <c r="AZ4" s="367" t="s">
        <v>17</v>
      </c>
      <c r="BA4" s="1" t="s">
        <v>18</v>
      </c>
      <c r="BB4" s="367" t="s">
        <v>19</v>
      </c>
      <c r="BC4" s="172" t="s">
        <v>20</v>
      </c>
      <c r="BD4" s="98" t="str">
        <f>DW4</f>
        <v>Comptage par lavage à l’alcool d’environ 120 mL de jeunes abeilles (½ tasse dans l’original)</v>
      </c>
      <c r="BE4" s="125" t="s">
        <v>21</v>
      </c>
      <c r="BF4" s="367" t="s">
        <v>22</v>
      </c>
      <c r="BG4" s="385" t="s">
        <v>23</v>
      </c>
      <c r="BH4" s="385"/>
      <c r="BI4" s="385"/>
      <c r="BJ4" s="385"/>
      <c r="BK4" s="385"/>
      <c r="BL4" s="385"/>
      <c r="BM4" s="386" t="s">
        <v>24</v>
      </c>
      <c r="BN4" s="386"/>
      <c r="BO4" s="363" t="s">
        <v>25</v>
      </c>
      <c r="BP4" s="52" t="s">
        <v>26</v>
      </c>
      <c r="BQ4" s="19" t="s">
        <v>27</v>
      </c>
      <c r="BR4" s="375" t="s">
        <v>28</v>
      </c>
      <c r="BS4" s="20" t="s">
        <v>29</v>
      </c>
      <c r="BT4" s="368" t="s">
        <v>30</v>
      </c>
      <c r="BU4" s="368" t="s">
        <v>31</v>
      </c>
      <c r="BV4" s="368" t="s">
        <v>32</v>
      </c>
      <c r="BW4" s="368" t="s">
        <v>33</v>
      </c>
      <c r="BX4" s="112" t="s">
        <v>34</v>
      </c>
      <c r="BY4" s="111" t="s">
        <v>35</v>
      </c>
      <c r="BZ4" s="368" t="s">
        <v>36</v>
      </c>
      <c r="CA4" s="102" t="s">
        <v>37</v>
      </c>
      <c r="CB4" s="368" t="s">
        <v>38</v>
      </c>
      <c r="CC4" s="368" t="s">
        <v>39</v>
      </c>
      <c r="CD4" s="137" t="s">
        <v>40</v>
      </c>
      <c r="CE4" s="19" t="s">
        <v>41</v>
      </c>
      <c r="CF4" s="57" t="s">
        <v>42</v>
      </c>
      <c r="CG4" s="57" t="s">
        <v>43</v>
      </c>
      <c r="CH4" s="57" t="s">
        <v>44</v>
      </c>
      <c r="CI4" s="57" t="s">
        <v>45</v>
      </c>
      <c r="CJ4" s="57" t="s">
        <v>46</v>
      </c>
      <c r="CK4" s="57" t="s">
        <v>47</v>
      </c>
      <c r="CL4" s="57" t="s">
        <v>48</v>
      </c>
      <c r="CM4" s="57" t="s">
        <v>49</v>
      </c>
      <c r="CN4" s="57" t="s">
        <v>50</v>
      </c>
      <c r="CO4" s="57" t="s">
        <v>51</v>
      </c>
      <c r="CP4" s="357" t="s">
        <v>52</v>
      </c>
      <c r="CQ4" s="58" t="s">
        <v>53</v>
      </c>
      <c r="CR4" s="357" t="s">
        <v>54</v>
      </c>
      <c r="CS4" s="357" t="s">
        <v>55</v>
      </c>
      <c r="CT4" s="358" t="s">
        <v>56</v>
      </c>
      <c r="CU4" s="358" t="s">
        <v>57</v>
      </c>
      <c r="CV4" s="357" t="s">
        <v>58</v>
      </c>
      <c r="CW4" s="357" t="s">
        <v>59</v>
      </c>
      <c r="CX4" s="357" t="s">
        <v>49</v>
      </c>
      <c r="CY4" s="357" t="s">
        <v>50</v>
      </c>
      <c r="CZ4" s="357" t="s">
        <v>60</v>
      </c>
      <c r="DA4" s="362" t="s">
        <v>61</v>
      </c>
      <c r="DB4" s="105" t="s">
        <v>62</v>
      </c>
      <c r="DC4" s="105" t="s">
        <v>63</v>
      </c>
      <c r="DD4" s="105"/>
      <c r="DE4" s="45" t="s">
        <v>64</v>
      </c>
      <c r="DF4" s="105" t="s">
        <v>65</v>
      </c>
      <c r="DG4" s="105" t="s">
        <v>66</v>
      </c>
      <c r="DH4" s="115" t="s">
        <v>67</v>
      </c>
      <c r="DI4" s="105" t="s">
        <v>68</v>
      </c>
      <c r="DJ4" s="106" t="s">
        <v>69</v>
      </c>
      <c r="DK4" s="106" t="s">
        <v>70</v>
      </c>
      <c r="DL4" s="185" t="s">
        <v>71</v>
      </c>
      <c r="DM4" s="108" t="s">
        <v>72</v>
      </c>
      <c r="DN4" s="81" t="s">
        <v>73</v>
      </c>
      <c r="DO4" s="105" t="s">
        <v>74</v>
      </c>
      <c r="DP4" s="80" t="s">
        <v>75</v>
      </c>
      <c r="DQ4" s="106" t="s">
        <v>76</v>
      </c>
      <c r="DR4" s="45" t="s">
        <v>77</v>
      </c>
      <c r="DS4" s="368" t="s">
        <v>78</v>
      </c>
      <c r="DT4" s="363" t="s">
        <v>25</v>
      </c>
      <c r="DU4" s="368" t="s">
        <v>79</v>
      </c>
      <c r="DV4" s="368" t="s">
        <v>80</v>
      </c>
      <c r="DW4" s="51" t="s">
        <v>81</v>
      </c>
      <c r="DX4" s="349" t="s">
        <v>82</v>
      </c>
      <c r="DY4" s="349" t="s">
        <v>83</v>
      </c>
      <c r="DZ4" s="349" t="s">
        <v>84</v>
      </c>
      <c r="EA4" s="349" t="s">
        <v>85</v>
      </c>
      <c r="EB4" s="368" t="s">
        <v>86</v>
      </c>
      <c r="EC4" s="368" t="s">
        <v>87</v>
      </c>
      <c r="ED4" s="368" t="s">
        <v>88</v>
      </c>
      <c r="EE4" s="368" t="s">
        <v>89</v>
      </c>
      <c r="EF4" s="368" t="s">
        <v>90</v>
      </c>
      <c r="EG4" s="195" t="s">
        <v>91</v>
      </c>
      <c r="EI4" s="368" t="s">
        <v>92</v>
      </c>
      <c r="EJ4" s="134" t="s">
        <v>93</v>
      </c>
      <c r="EK4" s="368" t="s">
        <v>94</v>
      </c>
      <c r="EO4" s="392" t="s">
        <v>95</v>
      </c>
      <c r="EP4" s="392"/>
      <c r="ER4" s="186" t="s">
        <v>96</v>
      </c>
      <c r="ES4" s="368" t="s">
        <v>97</v>
      </c>
    </row>
    <row r="5" spans="1:168" ht="16.44">
      <c r="B5" s="284"/>
      <c r="AZ5" s="288">
        <f>IF($AB$21="x", EP5,EO5)</f>
        <v>40544</v>
      </c>
      <c r="BA5" s="48">
        <f t="shared" ref="BA5:BA28" si="0">IF(EA5&gt;0,"",DE5)</f>
        <v>50</v>
      </c>
      <c r="BB5" s="222">
        <f>IF(EA5&gt;0,"",DS5)</f>
        <v>-5.0125418235442759E-3</v>
      </c>
      <c r="BC5" s="173">
        <f t="shared" ref="BC5:BC29" si="1">IF(EA5&gt;0,"",DL5)</f>
        <v>0</v>
      </c>
      <c r="BD5" s="99">
        <f>IF(EA5&gt;0,"",DW5)</f>
        <v>0.984375</v>
      </c>
      <c r="BE5" s="4" t="str">
        <f t="shared" ref="BE5:BE29" si="2">IF(EA5&gt;0,"",IF(BS5&lt;5,"s.o.",CT5))</f>
        <v>s.o.</v>
      </c>
      <c r="BF5" s="3">
        <f t="shared" ref="BF5:BF29" si="3">IF(EA5&gt;0,"",BZ5)</f>
        <v>1</v>
      </c>
      <c r="BG5" s="6"/>
      <c r="BH5" s="393"/>
      <c r="BI5" s="393"/>
      <c r="BJ5" s="393"/>
      <c r="BK5" s="6"/>
      <c r="BL5" s="6"/>
      <c r="BM5" s="6"/>
      <c r="BN5" s="392" t="s">
        <v>98</v>
      </c>
      <c r="BO5" s="158">
        <f>AZ5</f>
        <v>40544</v>
      </c>
      <c r="BP5" s="373">
        <f>IF($AZ$32="d",'Profils de colonie'!I31,IF($AZ$32="n",'Profils de colonie'!I59,IF($AZ$32="p",'Profils de colonie'!I87,IF($AZ$32="a",'Profils de colonie'!I115,IF($AZ$32="b",'Profils de colonie'!I143,IF($AZ$32="c",'Profils de colonie'!I171,IF($AZ$32="r",'Profils de colonie'!I199,IF($AZ$32="s",'Profils de colonie'!I227,IF($AZ$32="f",'Profils de colonie'!I255,"erreur")))))))))</f>
        <v>8</v>
      </c>
      <c r="BQ5">
        <f t="shared" ref="BQ5:BQ28" si="4">BP5*$BP$45</f>
        <v>16000</v>
      </c>
      <c r="BR5" s="68">
        <f>IF($AZ$32="d",'Profils de colonie'!G31,IF($AZ$32="n",'Profils de colonie'!G59,IF($AZ$32="p",'Profils de colonie'!G87,IF($AZ$32="a",'Profils de colonie'!G115,IF($AZ$32="b",'Profils de colonie'!G143,IF($AZ$32="c",'Profils de colonie'!G171,IF($AZ$32="r",'Profils de colonie'!G199,IF($AZ$32="s",'Profils de colonie'!G227,IF($AZ$32="f",'Profils de colonie'!G255,"erreur")))))))))</f>
        <v>0</v>
      </c>
      <c r="BS5" s="13">
        <f t="shared" ref="BS5:BS28" si="5">IF(BR5=0,1,$BP$44*BR5)</f>
        <v>1</v>
      </c>
      <c r="BT5" s="17">
        <f t="shared" ref="BT5:BT28" si="6">IF(BQ5=0,0,BS5/BQ5)</f>
        <v>6.2500000000000001E-5</v>
      </c>
      <c r="BU5">
        <f>BS5*12/20</f>
        <v>0.6</v>
      </c>
      <c r="BV5" s="14">
        <f>CT5*BU5</f>
        <v>0</v>
      </c>
      <c r="BW5" s="14">
        <f t="shared" ref="BW5:BW28" si="7">BS5/20</f>
        <v>0.05</v>
      </c>
      <c r="BX5" s="89">
        <f>IF(BT5=0,0.001,(-$BP$43*LN(BT5))+$BP$42)</f>
        <v>53.401720006109592</v>
      </c>
      <c r="BY5" s="21">
        <f t="shared" ref="BY5:BY28" si="8">BX5+12</f>
        <v>65.401720006109599</v>
      </c>
      <c r="BZ5" s="26">
        <f t="shared" ref="BZ5:BZ28" si="9">IF(BR5=0,1,BX5/BY5)</f>
        <v>1</v>
      </c>
      <c r="CA5" s="103">
        <f t="shared" ref="CA5:CA28" si="10">1-BZ5</f>
        <v>0</v>
      </c>
      <c r="CB5" s="22">
        <f t="shared" ref="CB5:CB29" si="11">DE5*CA5</f>
        <v>0</v>
      </c>
      <c r="CC5" s="5">
        <f t="shared" ref="CC5:CC28" si="12">0.6*BS5</f>
        <v>0.6</v>
      </c>
      <c r="CD5" s="67">
        <f>IF($AZ$32="d",'Profils de colonie'!K31,IF($AZ$32="n",'Profils de colonie'!K59,IF($AZ$32="p",'Profils de colonie'!K87,IF($AZ$32="a",'Profils de colonie'!K115,IF($AZ$32="b",'Profils de colonie'!K143,IF($AZ$32="c",'Profils de colonie'!K171,IF($AZ$32="r",'Profils de colonie'!K199,IF($AZ$32="s",'Profils de colonie'!K199,IF($AZ$32="f",'Profils de colonie'!K255,"erreur")))))))))</f>
        <v>0</v>
      </c>
      <c r="CE5" s="87">
        <f>CD5*16/25</f>
        <v>0</v>
      </c>
      <c r="CF5" s="63">
        <f>CE5*$BP$43</f>
        <v>0</v>
      </c>
      <c r="CG5" s="84">
        <f>CF5*CA5</f>
        <v>0</v>
      </c>
      <c r="CH5" s="60">
        <f t="shared" ref="CH5:CH28" si="13">CF5*CB5</f>
        <v>0</v>
      </c>
      <c r="CI5" s="61">
        <f>IF(CE5=0,0,CH5/(CC5*CE5))</f>
        <v>0</v>
      </c>
      <c r="CJ5" s="266">
        <f t="shared" ref="CJ5:CJ29" si="14">1-(POISSON(0,CI5,FALSE))</f>
        <v>0</v>
      </c>
      <c r="CK5" s="267">
        <f>IF(CJ5=0,0,CI5/CJ5)</f>
        <v>0</v>
      </c>
      <c r="CL5" s="61">
        <f t="shared" ref="CL5:CL28" si="15">BX5+15</f>
        <v>68.401720006109599</v>
      </c>
      <c r="CM5" s="265">
        <v>1</v>
      </c>
      <c r="CN5" s="71">
        <f t="shared" ref="CN5:CN28" si="16">(1+($BP$32*CM5))*$BP$47</f>
        <v>4.2749999999999995</v>
      </c>
      <c r="CO5" s="65">
        <f>LN(CN5)/14.75</f>
        <v>9.8493837450082944E-2</v>
      </c>
      <c r="CP5" s="85">
        <f>1-BZ5-CG5</f>
        <v>0</v>
      </c>
      <c r="CQ5" s="59">
        <f>(1-CE5)*CC5</f>
        <v>0.6</v>
      </c>
      <c r="CR5" s="59">
        <f t="shared" ref="CR5:CR28" si="17">CB5-CH5</f>
        <v>0</v>
      </c>
      <c r="CS5" s="62">
        <f t="shared" ref="CS5:CS28" si="18">CR5/CQ5</f>
        <v>0</v>
      </c>
      <c r="CT5" s="263">
        <f t="shared" ref="CT5:CT29" si="19">1-(POISSON(0,CS5,FALSE))</f>
        <v>0</v>
      </c>
      <c r="CU5" s="265">
        <f>CS5/(CT5+0.000001)</f>
        <v>0</v>
      </c>
      <c r="CV5" s="64">
        <f t="shared" ref="CV5:CV29" si="20">1-CF5</f>
        <v>1</v>
      </c>
      <c r="CW5" s="62">
        <f t="shared" ref="CW5:CW29" si="21">BX5+12</f>
        <v>65.401720006109599</v>
      </c>
      <c r="CX5" s="264">
        <v>1</v>
      </c>
      <c r="CY5" s="70">
        <f>(1+($BP$30*CX5))*$BP$47</f>
        <v>2.2586249999999999</v>
      </c>
      <c r="CZ5" s="66">
        <f t="shared" ref="CZ5:CZ29" si="22">IF(DE5&gt;2*CQ5,0,LN(CY5)/12.5)</f>
        <v>0</v>
      </c>
      <c r="DA5" s="91">
        <f t="shared" ref="DA5:DA29" si="23">(CG5*CO5+CP5*CZ5)</f>
        <v>0</v>
      </c>
      <c r="DB5" s="23">
        <f t="shared" ref="DB5:DB29" si="24">IF(BT5&gt;0.25,$BV$39,$BV$38)</f>
        <v>-5.0125418235442863E-3</v>
      </c>
      <c r="DC5" s="28">
        <f t="shared" ref="DC5:DC28" si="25">DA5+DB5</f>
        <v>-5.0125418235442863E-3</v>
      </c>
      <c r="DD5" s="29"/>
      <c r="DE5" s="86">
        <f>IF(OR($AZ$32="n",$AZ$32="p"),0,AZ33)</f>
        <v>50</v>
      </c>
      <c r="DF5" s="178">
        <f t="shared" ref="DF5:DF29" si="26">DE5*$BP$31</f>
        <v>35</v>
      </c>
      <c r="DG5" s="177">
        <f>DF5</f>
        <v>35</v>
      </c>
      <c r="DH5" s="116">
        <f>DG5*EXP(DA5*$BP$37)-DG5</f>
        <v>0</v>
      </c>
      <c r="DI5" s="13">
        <f>DE5+DH5</f>
        <v>50</v>
      </c>
      <c r="DJ5" s="199">
        <f>DI5-DK5</f>
        <v>3.6699583446850781</v>
      </c>
      <c r="DK5" s="107">
        <f t="shared" ref="DK5:DK29" si="27">DI5*EXP((IF(BT5&gt;0.25,$BV$39,$BV$38)*$BP$37))</f>
        <v>46.330041655314922</v>
      </c>
      <c r="DL5" s="182">
        <f>'Immigration de varroas'!E12</f>
        <v>0</v>
      </c>
      <c r="DM5" s="109"/>
      <c r="DN5" s="176"/>
      <c r="DO5" s="198">
        <f t="shared" ref="DO5:DO29" si="28">DK5+DN5</f>
        <v>46.330041655314922</v>
      </c>
      <c r="DP5" s="278">
        <f>EJ$33</f>
        <v>0</v>
      </c>
      <c r="DQ5" s="107">
        <f>DO5*DP5</f>
        <v>0</v>
      </c>
      <c r="DR5" s="79">
        <f t="shared" ref="DR5:DR29" si="29">DO5-DQ5</f>
        <v>46.330041655314922</v>
      </c>
      <c r="DS5" s="23">
        <f t="shared" ref="DS5:DS29" si="30">LN(DR5/DE5)/$BP$37</f>
        <v>-5.0125418235442759E-3</v>
      </c>
      <c r="DT5" s="158">
        <f t="shared" ref="DT5:DT29" si="31">AZ5</f>
        <v>40544</v>
      </c>
      <c r="DU5" s="74">
        <f t="shared" ref="DU5:DU29" si="32">DE5*BZ5</f>
        <v>50</v>
      </c>
      <c r="DV5" s="23">
        <f t="shared" ref="DV5:DV29" si="33">IF(BQ5=0,0.001,DU5/BQ5)</f>
        <v>3.1250000000000002E-3</v>
      </c>
      <c r="DW5" s="114">
        <f t="shared" ref="DW5:DW28" si="34">DV5*315</f>
        <v>0.984375</v>
      </c>
      <c r="DX5" s="75"/>
      <c r="DY5" s="75"/>
      <c r="DZ5" s="75"/>
      <c r="EA5" s="75"/>
      <c r="EB5" s="75"/>
      <c r="EC5" s="75"/>
      <c r="EF5" s="175"/>
      <c r="EG5" s="196"/>
      <c r="EI5" s="261">
        <f>DE5</f>
        <v>50</v>
      </c>
      <c r="EJ5" s="130">
        <v>0</v>
      </c>
      <c r="EK5" s="262">
        <v>0.5</v>
      </c>
      <c r="EO5" s="2">
        <v>40544</v>
      </c>
      <c r="EP5" s="193">
        <v>42917</v>
      </c>
      <c r="EQ5" s="14"/>
      <c r="ER5" s="17"/>
      <c r="ET5" s="14"/>
      <c r="EU5" s="14"/>
      <c r="EV5" s="14"/>
      <c r="EW5" s="14"/>
      <c r="EX5" s="14"/>
      <c r="EY5" s="14"/>
      <c r="EZ5" s="14"/>
      <c r="FA5" s="14"/>
      <c r="FB5" s="14"/>
      <c r="FC5" s="14"/>
      <c r="FD5" s="14"/>
      <c r="FE5" s="14"/>
      <c r="FF5" s="14"/>
      <c r="FG5" s="14"/>
      <c r="FH5" s="14"/>
      <c r="FI5" s="14"/>
    </row>
    <row r="6" spans="1:168" ht="16" customHeight="1">
      <c r="B6" s="284"/>
      <c r="AE6" s="274"/>
      <c r="AF6" s="282"/>
      <c r="AZ6" s="288">
        <f t="shared" ref="AZ6:AZ29" si="35">IF($AB$21="x", EP6,EO6)</f>
        <v>40558</v>
      </c>
      <c r="BA6" s="48">
        <f t="shared" si="0"/>
        <v>46.330041655314922</v>
      </c>
      <c r="BB6" s="222">
        <f t="shared" ref="BB6:BB28" si="36">IF(EA6&gt;0,"",DS6)</f>
        <v>1.407914634307955E-2</v>
      </c>
      <c r="BC6" s="173">
        <f t="shared" si="1"/>
        <v>0</v>
      </c>
      <c r="BD6" s="99">
        <f t="shared" ref="BD6:BD28" si="37">IF(EA6&gt;0,"",DW6)</f>
        <v>0.55057608541591319</v>
      </c>
      <c r="BE6" s="4">
        <f t="shared" si="2"/>
        <v>2.6839570643973465E-2</v>
      </c>
      <c r="BF6" s="3">
        <f t="shared" si="3"/>
        <v>0.60362064049089725</v>
      </c>
      <c r="BG6" s="379">
        <v>0.95</v>
      </c>
      <c r="BH6" s="394" t="s">
        <v>99</v>
      </c>
      <c r="BI6" s="395"/>
      <c r="BJ6" s="395"/>
      <c r="BK6" s="395"/>
      <c r="BL6" s="396"/>
      <c r="BN6" s="392"/>
      <c r="BO6" s="158">
        <f t="shared" ref="BO6:BO29" si="38">AZ6</f>
        <v>40558</v>
      </c>
      <c r="BP6" s="373">
        <f>IF($AZ$32="d",'Profils de colonie'!I32,IF($AZ$32="n",'Profils de colonie'!I60,IF($AZ$32="p",'Profils de colonie'!I88,IF($AZ$32="a",'Profils de colonie'!I116,IF($AZ$32="b",'Profils de colonie'!I144,IF($AZ$32="c",'Profils de colonie'!I172,IF($AZ$32="r",'Profils de colonie'!I200,IF($AZ$32="s",'Profils de colonie'!I228,IF($AZ$32="f",'Profils de colonie'!I256,"erreur")))))))))</f>
        <v>8</v>
      </c>
      <c r="BQ6">
        <f t="shared" si="4"/>
        <v>16000</v>
      </c>
      <c r="BR6" s="68">
        <f>IF($AZ$32="d",'Profils de colonie'!G32,IF($AZ$32="n",'Profils de colonie'!G60,IF($AZ$32="p",'Profils de colonie'!G88,IF($AZ$32="a",'Profils de colonie'!G116,IF($AZ$32="b",'Profils de colonie'!G144,IF($AZ$32="c",'Profils de colonie'!G172,IF($AZ$32="r",'Profils de colonie'!G200,IF($AZ$32="s",'Profils de colonie'!G228,IF($AZ$32="f",'Profils de colonie'!G256,"erreur")))))))))</f>
        <v>0.25</v>
      </c>
      <c r="BS6" s="13">
        <f t="shared" si="5"/>
        <v>1125</v>
      </c>
      <c r="BT6" s="17">
        <f t="shared" si="6"/>
        <v>7.03125E-2</v>
      </c>
      <c r="BU6">
        <f t="shared" ref="BU6:BU28" si="39">BS6*12/20</f>
        <v>675</v>
      </c>
      <c r="BV6" s="14">
        <f t="shared" ref="BV6:BV28" si="40">CT6*BU6</f>
        <v>18.116710184682088</v>
      </c>
      <c r="BW6" s="14">
        <f t="shared" si="7"/>
        <v>56.25</v>
      </c>
      <c r="BX6" s="89">
        <f t="shared" ref="BX6:BX28" si="41">IF(BT6=0,0.001,(-$BP$43*LN(BT6))+$BP$42)</f>
        <v>18.274028432916989</v>
      </c>
      <c r="BY6" s="21">
        <f t="shared" si="8"/>
        <v>30.274028432916989</v>
      </c>
      <c r="BZ6" s="26">
        <f t="shared" si="9"/>
        <v>0.60362064049089725</v>
      </c>
      <c r="CA6" s="103">
        <f t="shared" si="10"/>
        <v>0.39637935950910275</v>
      </c>
      <c r="CB6" s="22">
        <f t="shared" si="11"/>
        <v>18.364272237363778</v>
      </c>
      <c r="CC6" s="5">
        <f t="shared" si="12"/>
        <v>675</v>
      </c>
      <c r="CD6" s="67">
        <f>IF($AZ$32="d",'Profils de colonie'!K32,IF($AZ$32="n",'Profils de colonie'!K60,IF($AZ$32="p",'Profils de colonie'!K88,IF($AZ$32="a",'Profils de colonie'!K116,IF($AZ$32="b",'Profils de colonie'!K144,IF($AZ$32="c",'Profils de colonie'!K172,IF($AZ$32="r",'Profils de colonie'!K200,IF($AZ$32="s",'Profils de colonie'!K200,IF($AZ$32="f",'Profils de colonie'!K256,"erreur")))))))))</f>
        <v>0</v>
      </c>
      <c r="CE6" s="87">
        <f t="shared" ref="CE6:CE29" si="42">CD6*16/25</f>
        <v>0</v>
      </c>
      <c r="CF6" s="63">
        <f t="shared" ref="CF6:CF29" si="43">CE6*$BP$43</f>
        <v>0</v>
      </c>
      <c r="CG6" s="84">
        <f t="shared" ref="CG6:CG28" si="44">CF6*CA6</f>
        <v>0</v>
      </c>
      <c r="CH6" s="60">
        <f t="shared" si="13"/>
        <v>0</v>
      </c>
      <c r="CI6" s="61">
        <f t="shared" ref="CI6:CI28" si="45">IF(CE6=0,0,CH6/(CC6*CE6))</f>
        <v>0</v>
      </c>
      <c r="CJ6" s="266">
        <f t="shared" si="14"/>
        <v>0</v>
      </c>
      <c r="CK6" s="267">
        <f t="shared" ref="CK6:CK28" si="46">IF(CJ6=0,0,CI6/CJ6)</f>
        <v>0</v>
      </c>
      <c r="CL6" s="61">
        <f t="shared" si="15"/>
        <v>33.274028432916992</v>
      </c>
      <c r="CM6" s="265">
        <v>1</v>
      </c>
      <c r="CN6" s="71">
        <f t="shared" si="16"/>
        <v>4.2749999999999995</v>
      </c>
      <c r="CO6" s="65">
        <f t="shared" ref="CO6:CO28" si="47">LN(CN6)/14.75</f>
        <v>9.8493837450082944E-2</v>
      </c>
      <c r="CP6" s="85">
        <f t="shared" ref="CP6:CP28" si="48">1-BZ6-CG6</f>
        <v>0.39637935950910275</v>
      </c>
      <c r="CQ6" s="59">
        <f t="shared" ref="CQ6:CQ28" si="49">(1-CE6)*CC6</f>
        <v>675</v>
      </c>
      <c r="CR6" s="59">
        <f>CB6-CH6</f>
        <v>18.364272237363778</v>
      </c>
      <c r="CS6" s="62">
        <f t="shared" si="18"/>
        <v>2.720632924053893E-2</v>
      </c>
      <c r="CT6" s="263">
        <f t="shared" si="19"/>
        <v>2.6839570643973465E-2</v>
      </c>
      <c r="CU6" s="265">
        <f t="shared" ref="CU6:CU29" si="50">CS6/(CT6+0.000001)</f>
        <v>1.0136270797449527</v>
      </c>
      <c r="CV6" s="64">
        <f t="shared" si="20"/>
        <v>1</v>
      </c>
      <c r="CW6" s="62">
        <f t="shared" si="21"/>
        <v>30.274028432916989</v>
      </c>
      <c r="CX6" s="264">
        <v>1</v>
      </c>
      <c r="CY6" s="70">
        <f t="shared" ref="CY6:CY29" si="51">(1+($BP$30*CX6))*$BP$47</f>
        <v>2.2586249999999999</v>
      </c>
      <c r="CZ6" s="66">
        <f t="shared" si="22"/>
        <v>6.518049768398862E-2</v>
      </c>
      <c r="DA6" s="91">
        <f t="shared" si="23"/>
        <v>2.5836203924463966E-2</v>
      </c>
      <c r="DB6" s="23">
        <f t="shared" si="24"/>
        <v>-5.0125418235442863E-3</v>
      </c>
      <c r="DC6" s="28">
        <f t="shared" si="25"/>
        <v>2.0823662100919679E-2</v>
      </c>
      <c r="DD6" s="28"/>
      <c r="DE6" s="270">
        <f>IF(OR($AZ$32="n",$AZ$32="p"),0,DR5)</f>
        <v>46.330041655314922</v>
      </c>
      <c r="DF6" s="178">
        <f t="shared" si="26"/>
        <v>32.431029158720442</v>
      </c>
      <c r="DG6" s="177">
        <f t="shared" ref="DG6:DG29" si="52">DF6</f>
        <v>32.431029158720442</v>
      </c>
      <c r="DH6" s="116">
        <f t="shared" ref="DH6:DH15" si="53">DG6*EXP(DA6*$BP$37)-DG6</f>
        <v>15.609319551891964</v>
      </c>
      <c r="DI6" s="13">
        <f t="shared" ref="DI6:DI28" si="54">DE6+DH6</f>
        <v>61.939361207206886</v>
      </c>
      <c r="DJ6" s="199">
        <f t="shared" ref="DJ6:DJ28" si="55">DI6-DK6</f>
        <v>4.5462975105370447</v>
      </c>
      <c r="DK6" s="107">
        <f t="shared" si="27"/>
        <v>57.393063696669842</v>
      </c>
      <c r="DL6" s="182">
        <f>'Immigration de varroas'!E13</f>
        <v>0</v>
      </c>
      <c r="DM6" s="109">
        <f t="shared" ref="DM6:DM28" si="56">IF(EG6&gt;DU6*EF6,-DU6*EF6,-EG6)</f>
        <v>-7.1771525420288667E-4</v>
      </c>
      <c r="DN6" s="82">
        <f>DL6+DM6</f>
        <v>-7.1771525420288667E-4</v>
      </c>
      <c r="DO6" s="198">
        <f t="shared" si="28"/>
        <v>57.392345981415637</v>
      </c>
      <c r="DP6" s="278">
        <f>EK$33</f>
        <v>0</v>
      </c>
      <c r="DQ6" s="107">
        <f t="shared" ref="DQ6:DQ28" si="57">DO6*DP6</f>
        <v>0</v>
      </c>
      <c r="DR6" s="79">
        <f t="shared" si="29"/>
        <v>57.392345981415637</v>
      </c>
      <c r="DS6" s="23">
        <f t="shared" si="30"/>
        <v>1.407914634307955E-2</v>
      </c>
      <c r="DT6" s="158">
        <f t="shared" si="31"/>
        <v>40558</v>
      </c>
      <c r="DU6" s="74">
        <f t="shared" si="32"/>
        <v>27.965769417951144</v>
      </c>
      <c r="DV6" s="23">
        <f t="shared" si="33"/>
        <v>1.7478605886219465E-3</v>
      </c>
      <c r="DW6" s="114">
        <f t="shared" si="34"/>
        <v>0.55057608541591319</v>
      </c>
      <c r="DX6" s="75"/>
      <c r="DY6" s="75"/>
      <c r="DZ6" s="75"/>
      <c r="EA6" s="75"/>
      <c r="EB6" s="13">
        <f t="shared" ref="EB6:EB29" si="58">BS5*0.9/20*$BP$37</f>
        <v>0.68437499999999996</v>
      </c>
      <c r="EC6" s="14">
        <f t="shared" ref="EC6:EC29" si="59">BQ6-BQ5</f>
        <v>0</v>
      </c>
      <c r="ED6" s="13">
        <f t="shared" ref="ED6:ED28" si="60">EB6-EC6</f>
        <v>0.68437499999999996</v>
      </c>
      <c r="EE6" s="13">
        <f>ED6/$BP$37</f>
        <v>4.4999999999999998E-2</v>
      </c>
      <c r="EF6" s="17">
        <f t="shared" ref="EF6:EF28" si="61">IF(DV6&gt;0.15,1,$BP$36)</f>
        <v>0.6</v>
      </c>
      <c r="EG6" s="197">
        <f t="shared" ref="EG6:EG28" si="62">ED6*EF6*DV6</f>
        <v>7.1771525420288667E-4</v>
      </c>
      <c r="EI6" s="13">
        <f t="shared" ref="EI6:EI29" si="63">DH6</f>
        <v>15.609319551891964</v>
      </c>
      <c r="EJ6" s="130">
        <v>0</v>
      </c>
      <c r="EK6" s="31">
        <f>EJ$60</f>
        <v>0</v>
      </c>
      <c r="EO6" s="2">
        <v>40558</v>
      </c>
      <c r="EP6" s="193">
        <v>42931</v>
      </c>
      <c r="EQ6" s="14"/>
      <c r="ER6" s="17"/>
      <c r="ES6">
        <v>5.67</v>
      </c>
      <c r="ET6" s="14"/>
      <c r="EU6" s="14"/>
      <c r="EV6" s="14"/>
      <c r="EW6" s="14"/>
      <c r="EX6" s="14"/>
      <c r="EY6" s="14"/>
      <c r="EZ6" s="14"/>
      <c r="FA6" s="14"/>
      <c r="FB6" s="14"/>
      <c r="FC6" s="14"/>
      <c r="FD6" s="14"/>
      <c r="FE6" s="14"/>
      <c r="FF6" s="14"/>
      <c r="FG6" s="14"/>
      <c r="FH6" s="14"/>
      <c r="FI6" s="14"/>
      <c r="FJ6" s="14"/>
      <c r="FK6" s="14"/>
      <c r="FL6" s="14"/>
    </row>
    <row r="7" spans="1:168" ht="16.19" customHeight="1">
      <c r="B7" s="284"/>
      <c r="AE7" s="274"/>
      <c r="AF7" s="282"/>
      <c r="AZ7" s="288">
        <f t="shared" si="35"/>
        <v>40575</v>
      </c>
      <c r="BA7" s="48">
        <f t="shared" si="0"/>
        <v>57.392345981415637</v>
      </c>
      <c r="BB7" s="222">
        <f t="shared" si="36"/>
        <v>1.4156209170941484E-2</v>
      </c>
      <c r="BC7" s="173">
        <f t="shared" si="1"/>
        <v>0</v>
      </c>
      <c r="BD7" s="99">
        <f t="shared" si="37"/>
        <v>0.66051477221296495</v>
      </c>
      <c r="BE7" s="4">
        <f t="shared" si="2"/>
        <v>2.6404281596467571E-2</v>
      </c>
      <c r="BF7" s="3">
        <f t="shared" si="3"/>
        <v>0.58457196879000284</v>
      </c>
      <c r="BG7" s="380"/>
      <c r="BH7" s="397"/>
      <c r="BI7" s="398"/>
      <c r="BJ7" s="398"/>
      <c r="BK7" s="398"/>
      <c r="BL7" s="399"/>
      <c r="BN7" s="392"/>
      <c r="BO7" s="158">
        <f t="shared" si="38"/>
        <v>40575</v>
      </c>
      <c r="BP7" s="373">
        <f>IF($AZ$32="d",'Profils de colonie'!I33,IF($AZ$32="n",'Profils de colonie'!I61,IF($AZ$32="p",'Profils de colonie'!I89,IF($AZ$32="a",'Profils de colonie'!I117,IF($AZ$32="b",'Profils de colonie'!I145,IF($AZ$32="c",'Profils de colonie'!I173,IF($AZ$32="r",'Profils de colonie'!I201,IF($AZ$32="s",'Profils de colonie'!I229,IF($AZ$32="f",'Profils de colonie'!I257,"erreur")))))))))</f>
        <v>8</v>
      </c>
      <c r="BQ7">
        <f t="shared" si="4"/>
        <v>16000</v>
      </c>
      <c r="BR7" s="68">
        <f>IF($AZ$32="d",'Profils de colonie'!G33,IF($AZ$32="n",'Profils de colonie'!G61,IF($AZ$32="p",'Profils de colonie'!G89,IF($AZ$32="a",'Profils de colonie'!G117,IF($AZ$32="b",'Profils de colonie'!G145,IF($AZ$32="c",'Profils de colonie'!G173,IF($AZ$32="r",'Profils de colonie'!G201,IF($AZ$32="s",'Profils de colonie'!G229,IF($AZ$32="f",'Profils de colonie'!G257,"erreur")))))))))</f>
        <v>0.33</v>
      </c>
      <c r="BS7" s="13">
        <f t="shared" si="5"/>
        <v>1485</v>
      </c>
      <c r="BT7" s="17">
        <f t="shared" si="6"/>
        <v>9.2812500000000006E-2</v>
      </c>
      <c r="BU7">
        <f t="shared" si="39"/>
        <v>891</v>
      </c>
      <c r="BV7" s="14">
        <f t="shared" si="40"/>
        <v>23.526214902452605</v>
      </c>
      <c r="BW7" s="14">
        <f t="shared" si="7"/>
        <v>74.25</v>
      </c>
      <c r="BX7" s="89">
        <f t="shared" si="41"/>
        <v>16.88586974992559</v>
      </c>
      <c r="BY7" s="21">
        <f t="shared" si="8"/>
        <v>28.88586974992559</v>
      </c>
      <c r="BZ7" s="26">
        <f t="shared" si="9"/>
        <v>0.58457196879000284</v>
      </c>
      <c r="CA7" s="103">
        <f t="shared" si="10"/>
        <v>0.41542803120999716</v>
      </c>
      <c r="CB7" s="22">
        <f t="shared" si="11"/>
        <v>23.842389297582489</v>
      </c>
      <c r="CC7" s="5">
        <f t="shared" si="12"/>
        <v>891</v>
      </c>
      <c r="CD7" s="67">
        <f>IF($AZ$32="d",'Profils de colonie'!K33,IF($AZ$32="n",'Profils de colonie'!K61,IF($AZ$32="p",'Profils de colonie'!K89,IF($AZ$32="a",'Profils de colonie'!K117,IF($AZ$32="b",'Profils de colonie'!K145,IF($AZ$32="c",'Profils de colonie'!K173,IF($AZ$32="r",'Profils de colonie'!K201,IF($AZ$32="s",'Profils de colonie'!K201,IF($AZ$32="f",'Profils de colonie'!K257,"erreur")))))))))</f>
        <v>0</v>
      </c>
      <c r="CE7" s="87">
        <f t="shared" si="42"/>
        <v>0</v>
      </c>
      <c r="CF7" s="63">
        <f t="shared" si="43"/>
        <v>0</v>
      </c>
      <c r="CG7" s="84">
        <f t="shared" si="44"/>
        <v>0</v>
      </c>
      <c r="CH7" s="60">
        <f t="shared" si="13"/>
        <v>0</v>
      </c>
      <c r="CI7" s="61">
        <f t="shared" si="45"/>
        <v>0</v>
      </c>
      <c r="CJ7" s="266">
        <f t="shared" si="14"/>
        <v>0</v>
      </c>
      <c r="CK7" s="267">
        <f t="shared" si="46"/>
        <v>0</v>
      </c>
      <c r="CL7" s="61">
        <f t="shared" si="15"/>
        <v>31.88586974992559</v>
      </c>
      <c r="CM7" s="265">
        <v>1</v>
      </c>
      <c r="CN7" s="71">
        <f t="shared" si="16"/>
        <v>4.2749999999999995</v>
      </c>
      <c r="CO7" s="65">
        <f t="shared" si="47"/>
        <v>9.8493837450082944E-2</v>
      </c>
      <c r="CP7" s="85">
        <f t="shared" si="48"/>
        <v>0.41542803120999716</v>
      </c>
      <c r="CQ7" s="59">
        <f t="shared" si="49"/>
        <v>891</v>
      </c>
      <c r="CR7" s="59">
        <f t="shared" si="17"/>
        <v>23.842389297582489</v>
      </c>
      <c r="CS7" s="62">
        <f t="shared" si="18"/>
        <v>2.6759135014121763E-2</v>
      </c>
      <c r="CT7" s="263">
        <f t="shared" si="19"/>
        <v>2.6404281596467571E-2</v>
      </c>
      <c r="CU7" s="265">
        <f t="shared" si="50"/>
        <v>1.0134008575656139</v>
      </c>
      <c r="CV7" s="64">
        <f t="shared" si="20"/>
        <v>1</v>
      </c>
      <c r="CW7" s="62">
        <f t="shared" si="21"/>
        <v>28.88586974992559</v>
      </c>
      <c r="CX7" s="264">
        <v>1</v>
      </c>
      <c r="CY7" s="70">
        <f t="shared" si="51"/>
        <v>2.2586249999999999</v>
      </c>
      <c r="CZ7" s="66">
        <f t="shared" si="22"/>
        <v>6.518049768398862E-2</v>
      </c>
      <c r="DA7" s="91">
        <f t="shared" si="23"/>
        <v>2.7077805826147171E-2</v>
      </c>
      <c r="DB7" s="23">
        <f t="shared" si="24"/>
        <v>-5.0125418235442863E-3</v>
      </c>
      <c r="DC7" s="28">
        <f t="shared" si="25"/>
        <v>2.2065264002602884E-2</v>
      </c>
      <c r="DD7" s="28"/>
      <c r="DE7" s="270">
        <f>IF(OR($AZ$32="n",$AZ$32="p"),0,DR6)</f>
        <v>57.392345981415637</v>
      </c>
      <c r="DF7" s="178">
        <f t="shared" si="26"/>
        <v>40.174642186990944</v>
      </c>
      <c r="DG7" s="177">
        <f t="shared" si="52"/>
        <v>40.174642186990944</v>
      </c>
      <c r="DH7" s="116">
        <f t="shared" si="53"/>
        <v>20.470789024901116</v>
      </c>
      <c r="DI7" s="13">
        <f t="shared" si="54"/>
        <v>77.863135006316753</v>
      </c>
      <c r="DJ7" s="199">
        <f t="shared" si="55"/>
        <v>5.7150892411954715</v>
      </c>
      <c r="DK7" s="107">
        <f t="shared" si="27"/>
        <v>72.148045765121282</v>
      </c>
      <c r="DL7" s="182">
        <f>'Immigration de varroas'!E14</f>
        <v>0</v>
      </c>
      <c r="DM7" s="109">
        <f t="shared" si="56"/>
        <v>-0.96865670835695983</v>
      </c>
      <c r="DN7" s="82">
        <f t="shared" ref="DN7:DN29" si="64">DL7+DM7</f>
        <v>-0.96865670835695983</v>
      </c>
      <c r="DO7" s="198">
        <f t="shared" si="28"/>
        <v>71.179389056764322</v>
      </c>
      <c r="DP7" s="278">
        <f>EL$33</f>
        <v>0</v>
      </c>
      <c r="DQ7" s="107">
        <f t="shared" si="57"/>
        <v>0</v>
      </c>
      <c r="DR7" s="79">
        <f t="shared" si="29"/>
        <v>71.179389056764322</v>
      </c>
      <c r="DS7" s="23">
        <f t="shared" si="30"/>
        <v>1.4156209170941484E-2</v>
      </c>
      <c r="DT7" s="158">
        <f t="shared" si="31"/>
        <v>40575</v>
      </c>
      <c r="DU7" s="74">
        <f t="shared" si="32"/>
        <v>33.549956683833145</v>
      </c>
      <c r="DV7" s="23">
        <f t="shared" si="33"/>
        <v>2.0968722927395714E-3</v>
      </c>
      <c r="DW7" s="114">
        <f t="shared" si="34"/>
        <v>0.66051477221296495</v>
      </c>
      <c r="DX7" s="179" t="str">
        <f>IF((BR7&lt;0.25),DX6,IF(DX6=100,100,IF(CT5&gt;$AH$52,100,"")))</f>
        <v/>
      </c>
      <c r="DY7" s="179" t="str">
        <f>IF(DY6=100,100,IF(BS7&lt;100,IF((DW5+DW6)&gt;$AH$53,100,""),""))</f>
        <v/>
      </c>
      <c r="DZ7" s="179"/>
      <c r="EA7">
        <f>SUM(DX7:DZ7)</f>
        <v>0</v>
      </c>
      <c r="EB7" s="13">
        <f t="shared" si="58"/>
        <v>769.921875</v>
      </c>
      <c r="EC7" s="14">
        <f t="shared" si="59"/>
        <v>0</v>
      </c>
      <c r="ED7" s="13">
        <f t="shared" si="60"/>
        <v>769.921875</v>
      </c>
      <c r="EE7" s="13">
        <f t="shared" ref="EE7:EE29" si="65">ED7/$BP$37</f>
        <v>50.625</v>
      </c>
      <c r="EF7" s="17">
        <f t="shared" si="61"/>
        <v>0.6</v>
      </c>
      <c r="EG7" s="197">
        <f t="shared" si="62"/>
        <v>0.96865670835695983</v>
      </c>
      <c r="EI7" s="13">
        <f t="shared" si="63"/>
        <v>20.470789024901116</v>
      </c>
      <c r="EJ7" s="130">
        <v>0</v>
      </c>
      <c r="EK7" s="31">
        <f>EK$60</f>
        <v>0</v>
      </c>
      <c r="EO7" s="2">
        <v>40575</v>
      </c>
      <c r="EP7" s="193">
        <v>42948</v>
      </c>
      <c r="EQ7" s="14"/>
      <c r="ER7" s="17"/>
      <c r="ET7" s="14"/>
      <c r="EU7" s="14"/>
      <c r="EV7" s="14"/>
      <c r="EW7" s="14"/>
      <c r="EX7" s="14"/>
      <c r="EY7" s="14"/>
      <c r="EZ7" s="14"/>
      <c r="FA7" s="14"/>
      <c r="FB7" s="14"/>
      <c r="FC7" s="14"/>
      <c r="FD7" s="14"/>
      <c r="FE7" s="14"/>
      <c r="FF7" s="14"/>
      <c r="FG7" s="14"/>
      <c r="FH7" s="14"/>
      <c r="FI7" s="14"/>
      <c r="FJ7" s="14"/>
      <c r="FK7" s="14"/>
      <c r="FL7" s="14"/>
    </row>
    <row r="8" spans="1:168" ht="16" customHeight="1">
      <c r="B8" s="284"/>
      <c r="AE8" s="274"/>
      <c r="AF8" s="282"/>
      <c r="AZ8" s="288">
        <f t="shared" si="35"/>
        <v>40589</v>
      </c>
      <c r="BA8" s="48">
        <f t="shared" si="0"/>
        <v>71.179389056764322</v>
      </c>
      <c r="BB8" s="222">
        <f t="shared" si="36"/>
        <v>1.5990546388849801E-2</v>
      </c>
      <c r="BC8" s="173">
        <f t="shared" si="1"/>
        <v>0</v>
      </c>
      <c r="BD8" s="99">
        <f>IF(EA8&gt;0,"",DW8)</f>
        <v>0.80453098887401608</v>
      </c>
      <c r="BE8" s="4">
        <f t="shared" si="2"/>
        <v>1.7340464156652469E-2</v>
      </c>
      <c r="BF8" s="3">
        <f t="shared" si="3"/>
        <v>0.50234953281672068</v>
      </c>
      <c r="BG8" s="379">
        <v>0.9</v>
      </c>
      <c r="BH8" s="378" t="s">
        <v>100</v>
      </c>
      <c r="BI8" s="378"/>
      <c r="BJ8" s="378"/>
      <c r="BK8" s="378"/>
      <c r="BL8" s="378"/>
      <c r="BN8" s="392"/>
      <c r="BO8" s="158">
        <f t="shared" si="38"/>
        <v>40589</v>
      </c>
      <c r="BP8" s="373">
        <f>IF($AZ$32="d",'Profils de colonie'!I34,IF($AZ$32="n",'Profils de colonie'!I62,IF($AZ$32="p",'Profils de colonie'!I90,IF($AZ$32="a",'Profils de colonie'!I118,IF($AZ$32="b",'Profils de colonie'!I146,IF($AZ$32="c",'Profils de colonie'!I174,IF($AZ$32="r",'Profils de colonie'!I202,IF($AZ$32="s",'Profils de colonie'!I230,IF($AZ$32="f",'Profils de colonie'!I258,"erreur")))))))))</f>
        <v>7</v>
      </c>
      <c r="BQ8">
        <f t="shared" si="4"/>
        <v>14000</v>
      </c>
      <c r="BR8" s="68">
        <f>IF($AZ$32="d",'Profils de colonie'!G34,IF($AZ$32="n",'Profils de colonie'!G62,IF($AZ$32="p",'Profils de colonie'!G90,IF($AZ$32="a",'Profils de colonie'!G118,IF($AZ$32="b",'Profils de colonie'!G146,IF($AZ$32="c",'Profils de colonie'!G174,IF($AZ$32="r",'Profils de colonie'!G202,IF($AZ$32="s",'Profils de colonie'!G230,IF($AZ$32="f",'Profils de colonie'!G258,"erreur")))))))))</f>
        <v>0.75</v>
      </c>
      <c r="BS8" s="13">
        <f t="shared" si="5"/>
        <v>3375</v>
      </c>
      <c r="BT8" s="17">
        <f t="shared" si="6"/>
        <v>0.24107142857142858</v>
      </c>
      <c r="BU8">
        <f t="shared" si="39"/>
        <v>2025</v>
      </c>
      <c r="BV8" s="14">
        <f t="shared" si="40"/>
        <v>35.114439917221247</v>
      </c>
      <c r="BW8" s="14">
        <f t="shared" si="7"/>
        <v>168.75</v>
      </c>
      <c r="BX8" s="89">
        <f t="shared" si="41"/>
        <v>12.113310026453828</v>
      </c>
      <c r="BY8" s="21">
        <f t="shared" si="8"/>
        <v>24.113310026453828</v>
      </c>
      <c r="BZ8" s="26">
        <f t="shared" si="9"/>
        <v>0.50234953281672068</v>
      </c>
      <c r="CA8" s="103">
        <f t="shared" si="10"/>
        <v>0.49765046718327932</v>
      </c>
      <c r="CB8" s="22">
        <f t="shared" si="11"/>
        <v>35.422456217919162</v>
      </c>
      <c r="CC8" s="5">
        <f t="shared" si="12"/>
        <v>2025</v>
      </c>
      <c r="CD8" s="67">
        <f>IF($AZ$32="d",'Profils de colonie'!K34,IF($AZ$32="n",'Profils de colonie'!K62,IF($AZ$32="p",'Profils de colonie'!K90,IF($AZ$32="a",'Profils de colonie'!K118,IF($AZ$32="b",'Profils de colonie'!K146,IF($AZ$32="c",'Profils de colonie'!K174,IF($AZ$32="r",'Profils de colonie'!K202,IF($AZ$32="s",'Profils de colonie'!K202,IF($AZ$32="f",'Profils de colonie'!K258,"erreur")))))))))</f>
        <v>0</v>
      </c>
      <c r="CE8" s="87">
        <f t="shared" si="42"/>
        <v>0</v>
      </c>
      <c r="CF8" s="63">
        <f t="shared" si="43"/>
        <v>0</v>
      </c>
      <c r="CG8" s="84">
        <f t="shared" si="44"/>
        <v>0</v>
      </c>
      <c r="CH8" s="60">
        <f t="shared" si="13"/>
        <v>0</v>
      </c>
      <c r="CI8" s="61">
        <f t="shared" si="45"/>
        <v>0</v>
      </c>
      <c r="CJ8" s="266">
        <f t="shared" si="14"/>
        <v>0</v>
      </c>
      <c r="CK8" s="267">
        <f t="shared" si="46"/>
        <v>0</v>
      </c>
      <c r="CL8" s="61">
        <f t="shared" si="15"/>
        <v>27.113310026453828</v>
      </c>
      <c r="CM8" s="265">
        <v>1</v>
      </c>
      <c r="CN8" s="71">
        <f t="shared" si="16"/>
        <v>4.2749999999999995</v>
      </c>
      <c r="CO8" s="65">
        <f t="shared" si="47"/>
        <v>9.8493837450082944E-2</v>
      </c>
      <c r="CP8" s="85">
        <f t="shared" si="48"/>
        <v>0.49765046718327932</v>
      </c>
      <c r="CQ8" s="59">
        <f t="shared" si="49"/>
        <v>2025</v>
      </c>
      <c r="CR8" s="59">
        <f t="shared" si="17"/>
        <v>35.422456217919162</v>
      </c>
      <c r="CS8" s="62">
        <f t="shared" si="18"/>
        <v>1.7492570971811932E-2</v>
      </c>
      <c r="CT8" s="263">
        <f t="shared" si="19"/>
        <v>1.7340464156652469E-2</v>
      </c>
      <c r="CU8" s="265">
        <f t="shared" si="50"/>
        <v>1.0087136134408521</v>
      </c>
      <c r="CV8" s="64">
        <f t="shared" si="20"/>
        <v>1</v>
      </c>
      <c r="CW8" s="62">
        <f t="shared" si="21"/>
        <v>24.113310026453828</v>
      </c>
      <c r="CX8" s="264">
        <v>1</v>
      </c>
      <c r="CY8" s="70">
        <f t="shared" si="51"/>
        <v>2.2586249999999999</v>
      </c>
      <c r="CZ8" s="66">
        <f t="shared" si="22"/>
        <v>6.518049768398862E-2</v>
      </c>
      <c r="DA8" s="91">
        <f t="shared" si="23"/>
        <v>3.2437105123675591E-2</v>
      </c>
      <c r="DB8" s="23">
        <f t="shared" si="24"/>
        <v>-5.0125418235442863E-3</v>
      </c>
      <c r="DC8" s="28">
        <f t="shared" si="25"/>
        <v>2.7424563300131304E-2</v>
      </c>
      <c r="DD8" s="28"/>
      <c r="DE8" s="270">
        <f>IF(OR($AZ$32="n",$AZ$32="p"),0,DR7)</f>
        <v>71.179389056764322</v>
      </c>
      <c r="DF8" s="178">
        <f t="shared" si="26"/>
        <v>49.825572339735025</v>
      </c>
      <c r="DG8" s="177">
        <f t="shared" si="52"/>
        <v>49.825572339735025</v>
      </c>
      <c r="DH8" s="116">
        <f t="shared" si="53"/>
        <v>31.775520956731249</v>
      </c>
      <c r="DI8" s="13">
        <f t="shared" si="54"/>
        <v>102.95491001349558</v>
      </c>
      <c r="DJ8" s="199">
        <f t="shared" si="55"/>
        <v>7.5568046226065917</v>
      </c>
      <c r="DK8" s="107">
        <f t="shared" si="27"/>
        <v>95.398105390888986</v>
      </c>
      <c r="DL8" s="182">
        <f>'Immigration de varroas'!E15</f>
        <v>0</v>
      </c>
      <c r="DM8" s="109">
        <f t="shared" si="56"/>
        <v>-4.6222939192025798</v>
      </c>
      <c r="DN8" s="82">
        <f t="shared" si="64"/>
        <v>-4.6222939192025798</v>
      </c>
      <c r="DO8" s="198">
        <f t="shared" si="28"/>
        <v>90.77581147168641</v>
      </c>
      <c r="DP8" s="278">
        <f>EM$33</f>
        <v>0</v>
      </c>
      <c r="DQ8" s="107">
        <f t="shared" si="57"/>
        <v>0</v>
      </c>
      <c r="DR8" s="79">
        <f t="shared" si="29"/>
        <v>90.77581147168641</v>
      </c>
      <c r="DS8" s="23">
        <f t="shared" si="30"/>
        <v>1.5990546388849801E-2</v>
      </c>
      <c r="DT8" s="158">
        <f t="shared" si="31"/>
        <v>40589</v>
      </c>
      <c r="DU8" s="74">
        <f t="shared" si="32"/>
        <v>35.756932838845159</v>
      </c>
      <c r="DV8" s="23">
        <f t="shared" si="33"/>
        <v>2.5540666313460829E-3</v>
      </c>
      <c r="DW8" s="114">
        <f t="shared" si="34"/>
        <v>0.80453098887401608</v>
      </c>
      <c r="DX8" s="179" t="str">
        <f t="shared" ref="DX8:DX29" si="66">IF((BR8&lt;0.25),DX7,IF(DX7=100,100,IF(CT6&gt;$AH$52,100,"")))</f>
        <v/>
      </c>
      <c r="DY8" s="179" t="str">
        <f t="shared" ref="DY8:DY29" si="67">IF(DY7=100,100,IF(BS8&lt;100,IF((DW6+DW7)&gt;$AH$53,100,""),""))</f>
        <v/>
      </c>
      <c r="DZ8" s="179"/>
      <c r="EA8">
        <f t="shared" ref="EA8:EA29" si="68">SUM(DX8:DZ8)</f>
        <v>0</v>
      </c>
      <c r="EB8" s="13">
        <f t="shared" si="58"/>
        <v>1016.2968750000001</v>
      </c>
      <c r="EC8" s="14">
        <f t="shared" si="59"/>
        <v>-2000</v>
      </c>
      <c r="ED8" s="13">
        <f t="shared" si="60"/>
        <v>3016.296875</v>
      </c>
      <c r="EE8" s="13">
        <f t="shared" si="65"/>
        <v>198.3318493150685</v>
      </c>
      <c r="EF8" s="17">
        <f t="shared" si="61"/>
        <v>0.6</v>
      </c>
      <c r="EG8" s="197">
        <f t="shared" si="62"/>
        <v>4.6222939192025798</v>
      </c>
      <c r="EI8" s="13">
        <f t="shared" si="63"/>
        <v>31.775520956731249</v>
      </c>
      <c r="EJ8" s="130">
        <v>0</v>
      </c>
      <c r="EK8" s="31">
        <f>EL$60</f>
        <v>0</v>
      </c>
      <c r="EO8" s="2">
        <v>40589</v>
      </c>
      <c r="EP8" s="193">
        <v>42962</v>
      </c>
      <c r="EQ8" s="14"/>
      <c r="ER8" s="17"/>
      <c r="ES8">
        <v>6.3</v>
      </c>
      <c r="ET8" s="14"/>
      <c r="EU8" s="14"/>
      <c r="EV8" s="14"/>
      <c r="EW8" s="14"/>
      <c r="EX8" s="14"/>
      <c r="EY8" s="14"/>
      <c r="EZ8" s="14"/>
      <c r="FA8" s="14"/>
      <c r="FB8" s="14"/>
      <c r="FC8" s="14"/>
      <c r="FD8" s="14"/>
      <c r="FE8" s="14"/>
      <c r="FF8" s="14"/>
      <c r="FG8" s="14"/>
      <c r="FH8" s="14"/>
      <c r="FI8" s="14"/>
      <c r="FJ8" s="14"/>
      <c r="FK8" s="14"/>
      <c r="FL8" s="14"/>
    </row>
    <row r="9" spans="1:168" ht="16.44">
      <c r="B9" s="284"/>
      <c r="AE9" s="274"/>
      <c r="AF9" s="282"/>
      <c r="AZ9" s="288">
        <f t="shared" si="35"/>
        <v>40603</v>
      </c>
      <c r="BA9" s="48">
        <f t="shared" si="0"/>
        <v>90.77581147168641</v>
      </c>
      <c r="BB9" s="222">
        <f t="shared" si="36"/>
        <v>1.862355532637134E-2</v>
      </c>
      <c r="BC9" s="173">
        <f t="shared" si="1"/>
        <v>0</v>
      </c>
      <c r="BD9" s="99">
        <f t="shared" si="37"/>
        <v>0.96154825861660442</v>
      </c>
      <c r="BE9" s="4">
        <f t="shared" si="2"/>
        <v>1.7635360313089321E-2</v>
      </c>
      <c r="BF9" s="3">
        <f t="shared" si="3"/>
        <v>0.47078045866951518</v>
      </c>
      <c r="BG9" s="380"/>
      <c r="BH9" s="378"/>
      <c r="BI9" s="378"/>
      <c r="BJ9" s="378"/>
      <c r="BK9" s="378"/>
      <c r="BL9" s="378"/>
      <c r="BN9" s="392"/>
      <c r="BO9" s="158">
        <f t="shared" si="38"/>
        <v>40603</v>
      </c>
      <c r="BP9" s="373">
        <f>IF($AZ$32="d",'Profils de colonie'!I35,IF($AZ$32="n",'Profils de colonie'!I63,IF($AZ$32="p",'Profils de colonie'!I91,IF($AZ$32="a",'Profils de colonie'!I119,IF($AZ$32="b",'Profils de colonie'!I147,IF($AZ$32="c",'Profils de colonie'!I175,IF($AZ$32="r",'Profils de colonie'!I203,IF($AZ$32="s",'Profils de colonie'!I231,IF($AZ$32="f",'Profils de colonie'!I259,"erreur")))))))))</f>
        <v>7</v>
      </c>
      <c r="BQ9">
        <f t="shared" si="4"/>
        <v>14000</v>
      </c>
      <c r="BR9" s="68">
        <f>IF($AZ$32="d",'Profils de colonie'!G35,IF($AZ$32="n",'Profils de colonie'!G63,IF($AZ$32="p",'Profils de colonie'!G91,IF($AZ$32="a",'Profils de colonie'!G119,IF($AZ$32="b",'Profils de colonie'!G147,IF($AZ$32="c",'Profils de colonie'!G175,IF($AZ$32="r",'Profils de colonie'!G203,IF($AZ$32="s",'Profils de colonie'!G231,IF($AZ$32="f",'Profils de colonie'!G259,"erreur")))))))))</f>
        <v>1</v>
      </c>
      <c r="BS9" s="13">
        <f t="shared" si="5"/>
        <v>4500</v>
      </c>
      <c r="BT9" s="17">
        <f t="shared" si="6"/>
        <v>0.32142857142857145</v>
      </c>
      <c r="BU9">
        <f t="shared" si="39"/>
        <v>2700</v>
      </c>
      <c r="BV9" s="14">
        <f t="shared" si="40"/>
        <v>47.615472845341166</v>
      </c>
      <c r="BW9" s="14">
        <f t="shared" si="7"/>
        <v>225</v>
      </c>
      <c r="BX9" s="89">
        <f t="shared" si="41"/>
        <v>10.674899664194921</v>
      </c>
      <c r="BY9" s="21">
        <f t="shared" si="8"/>
        <v>22.674899664194921</v>
      </c>
      <c r="BZ9" s="26">
        <f t="shared" si="9"/>
        <v>0.47078045866951518</v>
      </c>
      <c r="CA9" s="103">
        <f t="shared" si="10"/>
        <v>0.52921954133048477</v>
      </c>
      <c r="CB9" s="22">
        <f t="shared" si="11"/>
        <v>48.040333310948441</v>
      </c>
      <c r="CC9" s="5">
        <f t="shared" si="12"/>
        <v>2700</v>
      </c>
      <c r="CD9" s="67">
        <f>IF($AZ$32="d",'Profils de colonie'!K35,IF($AZ$32="n",'Profils de colonie'!K63,IF($AZ$32="p",'Profils de colonie'!K91,IF($AZ$32="a",'Profils de colonie'!K119,IF($AZ$32="b",'Profils de colonie'!K147,IF($AZ$32="c",'Profils de colonie'!K175,IF($AZ$32="r",'Profils de colonie'!K203,IF($AZ$32="s",'Profils de colonie'!K203,IF($AZ$32="f",'Profils de colonie'!K259,"erreur")))))))))</f>
        <v>0</v>
      </c>
      <c r="CE9" s="87">
        <f t="shared" si="42"/>
        <v>0</v>
      </c>
      <c r="CF9" s="63">
        <f t="shared" si="43"/>
        <v>0</v>
      </c>
      <c r="CG9" s="84">
        <f t="shared" si="44"/>
        <v>0</v>
      </c>
      <c r="CH9" s="60">
        <f t="shared" si="13"/>
        <v>0</v>
      </c>
      <c r="CI9" s="61">
        <f t="shared" si="45"/>
        <v>0</v>
      </c>
      <c r="CJ9" s="266">
        <f t="shared" si="14"/>
        <v>0</v>
      </c>
      <c r="CK9" s="267">
        <f t="shared" si="46"/>
        <v>0</v>
      </c>
      <c r="CL9" s="61">
        <f t="shared" si="15"/>
        <v>25.674899664194921</v>
      </c>
      <c r="CM9" s="265">
        <v>1</v>
      </c>
      <c r="CN9" s="71">
        <f t="shared" si="16"/>
        <v>4.2749999999999995</v>
      </c>
      <c r="CO9" s="65">
        <f t="shared" si="47"/>
        <v>9.8493837450082944E-2</v>
      </c>
      <c r="CP9" s="85">
        <f t="shared" si="48"/>
        <v>0.52921954133048477</v>
      </c>
      <c r="CQ9" s="59">
        <f t="shared" si="49"/>
        <v>2700</v>
      </c>
      <c r="CR9" s="59">
        <f t="shared" si="17"/>
        <v>48.040333310948441</v>
      </c>
      <c r="CS9" s="62">
        <f t="shared" si="18"/>
        <v>1.7792716041092015E-2</v>
      </c>
      <c r="CT9" s="263">
        <f t="shared" si="19"/>
        <v>1.7635360313089321E-2</v>
      </c>
      <c r="CU9" s="265">
        <f t="shared" si="50"/>
        <v>1.0088655326397844</v>
      </c>
      <c r="CV9" s="64">
        <f t="shared" si="20"/>
        <v>1</v>
      </c>
      <c r="CW9" s="62">
        <f t="shared" si="21"/>
        <v>22.674899664194921</v>
      </c>
      <c r="CX9" s="264">
        <v>1</v>
      </c>
      <c r="CY9" s="70">
        <f t="shared" si="51"/>
        <v>2.2586249999999999</v>
      </c>
      <c r="CZ9" s="66">
        <f t="shared" si="22"/>
        <v>6.518049768398862E-2</v>
      </c>
      <c r="DA9" s="91">
        <f t="shared" si="23"/>
        <v>3.4494793088013183E-2</v>
      </c>
      <c r="DB9" s="23">
        <f t="shared" si="24"/>
        <v>-5.0125418235442863E-3</v>
      </c>
      <c r="DC9" s="28">
        <f t="shared" si="25"/>
        <v>2.9482251264468896E-2</v>
      </c>
      <c r="DD9" s="28"/>
      <c r="DE9" s="270">
        <f>IF(OR($AZ$32="n",$AZ$32="p"),0,DR8)</f>
        <v>90.77581147168641</v>
      </c>
      <c r="DF9" s="178">
        <f t="shared" si="26"/>
        <v>63.543068030180486</v>
      </c>
      <c r="DG9" s="177">
        <f t="shared" si="52"/>
        <v>63.543068030180486</v>
      </c>
      <c r="DH9" s="116">
        <f t="shared" si="53"/>
        <v>43.831807837764735</v>
      </c>
      <c r="DI9" s="13">
        <f t="shared" si="54"/>
        <v>134.60761930945114</v>
      </c>
      <c r="DJ9" s="199">
        <f t="shared" si="55"/>
        <v>9.8800871148582559</v>
      </c>
      <c r="DK9" s="107">
        <f t="shared" si="27"/>
        <v>124.72753219459288</v>
      </c>
      <c r="DL9" s="182">
        <f>'Immigration de varroas'!E16</f>
        <v>0</v>
      </c>
      <c r="DM9" s="109">
        <f t="shared" si="56"/>
        <v>-4.2303830752976053</v>
      </c>
      <c r="DN9" s="82">
        <f t="shared" si="64"/>
        <v>-4.2303830752976053</v>
      </c>
      <c r="DO9" s="198">
        <f t="shared" si="28"/>
        <v>120.49714911929527</v>
      </c>
      <c r="DP9" s="278">
        <f>EN$33</f>
        <v>0</v>
      </c>
      <c r="DQ9" s="107">
        <f t="shared" si="57"/>
        <v>0</v>
      </c>
      <c r="DR9" s="79">
        <f t="shared" si="29"/>
        <v>120.49714911929527</v>
      </c>
      <c r="DS9" s="23">
        <f t="shared" si="30"/>
        <v>1.862355532637134E-2</v>
      </c>
      <c r="DT9" s="158">
        <f t="shared" si="31"/>
        <v>40603</v>
      </c>
      <c r="DU9" s="74">
        <f t="shared" si="32"/>
        <v>42.735478160737969</v>
      </c>
      <c r="DV9" s="23">
        <f t="shared" si="33"/>
        <v>3.0525341543384266E-3</v>
      </c>
      <c r="DW9" s="114">
        <f t="shared" si="34"/>
        <v>0.96154825861660442</v>
      </c>
      <c r="DX9" s="179" t="str">
        <f t="shared" si="66"/>
        <v/>
      </c>
      <c r="DY9" s="179" t="str">
        <f t="shared" si="67"/>
        <v/>
      </c>
      <c r="DZ9" s="179"/>
      <c r="EA9">
        <f t="shared" si="68"/>
        <v>0</v>
      </c>
      <c r="EB9" s="13">
        <f t="shared" si="58"/>
        <v>2309.765625</v>
      </c>
      <c r="EC9" s="14">
        <f t="shared" si="59"/>
        <v>0</v>
      </c>
      <c r="ED9" s="13">
        <f t="shared" si="60"/>
        <v>2309.765625</v>
      </c>
      <c r="EE9" s="13">
        <f t="shared" si="65"/>
        <v>151.875</v>
      </c>
      <c r="EF9" s="17">
        <f t="shared" si="61"/>
        <v>0.6</v>
      </c>
      <c r="EG9" s="197">
        <f t="shared" si="62"/>
        <v>4.2303830752976053</v>
      </c>
      <c r="EI9" s="13">
        <f t="shared" si="63"/>
        <v>43.831807837764735</v>
      </c>
      <c r="EJ9" s="130">
        <v>0</v>
      </c>
      <c r="EK9" s="31">
        <f>EM$60</f>
        <v>0</v>
      </c>
      <c r="EO9" s="2">
        <v>40603</v>
      </c>
      <c r="EP9" s="193">
        <v>42979</v>
      </c>
      <c r="ER9" s="17"/>
    </row>
    <row r="10" spans="1:168" ht="16" customHeight="1">
      <c r="B10" s="284"/>
      <c r="AE10" s="274"/>
      <c r="AF10" s="282"/>
      <c r="AZ10" s="288">
        <f t="shared" si="35"/>
        <v>40617</v>
      </c>
      <c r="BA10" s="48">
        <f t="shared" si="0"/>
        <v>120.49714911929527</v>
      </c>
      <c r="BB10" s="222">
        <f t="shared" si="36"/>
        <v>2.332186925067713E-2</v>
      </c>
      <c r="BC10" s="173">
        <f t="shared" si="1"/>
        <v>0</v>
      </c>
      <c r="BD10" s="99">
        <f t="shared" si="37"/>
        <v>1.1044886492158346</v>
      </c>
      <c r="BE10" s="4">
        <f t="shared" si="2"/>
        <v>1.4417537237738531E-2</v>
      </c>
      <c r="BF10" s="3">
        <f t="shared" si="3"/>
        <v>0.34918467675703302</v>
      </c>
      <c r="BG10" s="379">
        <v>0.9</v>
      </c>
      <c r="BH10" s="394" t="s">
        <v>101</v>
      </c>
      <c r="BI10" s="395"/>
      <c r="BJ10" s="395"/>
      <c r="BK10" s="395"/>
      <c r="BL10" s="396"/>
      <c r="BN10" s="392"/>
      <c r="BO10" s="158">
        <f t="shared" si="38"/>
        <v>40617</v>
      </c>
      <c r="BP10" s="373">
        <f>IF($AZ$32="d",'Profils de colonie'!I36,IF($AZ$32="n",'Profils de colonie'!I64,IF($AZ$32="p",'Profils de colonie'!I92,IF($AZ$32="a",'Profils de colonie'!I120,IF($AZ$32="b",'Profils de colonie'!I148,IF($AZ$32="c",'Profils de colonie'!I176,IF($AZ$32="r",'Profils de colonie'!I204,IF($AZ$32="s",'Profils de colonie'!I232,IF($AZ$32="f",'Profils de colonie'!I260,"erreur")))))))))</f>
        <v>6</v>
      </c>
      <c r="BQ10">
        <f t="shared" si="4"/>
        <v>12000</v>
      </c>
      <c r="BR10" s="68">
        <f>IF($AZ$32="d",'Profils de colonie'!G36,IF($AZ$32="n",'Profils de colonie'!G64,IF($AZ$32="p",'Profils de colonie'!G92,IF($AZ$32="a",'Profils de colonie'!G120,IF($AZ$32="b",'Profils de colonie'!G148,IF($AZ$32="c",'Profils de colonie'!G176,IF($AZ$32="r",'Profils de colonie'!G204,IF($AZ$32="s",'Profils de colonie'!G232,IF($AZ$32="f",'Profils de colonie'!G260,"erreur")))))))))</f>
        <v>2</v>
      </c>
      <c r="BS10" s="13">
        <f t="shared" si="5"/>
        <v>9000</v>
      </c>
      <c r="BT10" s="17">
        <f t="shared" si="6"/>
        <v>0.75</v>
      </c>
      <c r="BU10">
        <f t="shared" si="39"/>
        <v>5400</v>
      </c>
      <c r="BV10" s="14">
        <f t="shared" si="40"/>
        <v>77.854701083788072</v>
      </c>
      <c r="BW10" s="14">
        <f t="shared" si="7"/>
        <v>450</v>
      </c>
      <c r="BX10" s="89">
        <f t="shared" si="41"/>
        <v>6.4384103622589048</v>
      </c>
      <c r="BY10" s="21">
        <f t="shared" si="8"/>
        <v>18.438410362258907</v>
      </c>
      <c r="BZ10" s="26">
        <f t="shared" si="9"/>
        <v>0.34918467675703302</v>
      </c>
      <c r="CA10" s="103">
        <f t="shared" si="10"/>
        <v>0.65081532324296698</v>
      </c>
      <c r="CB10" s="22">
        <f t="shared" si="11"/>
        <v>78.421391053930151</v>
      </c>
      <c r="CC10" s="5">
        <f t="shared" si="12"/>
        <v>5400</v>
      </c>
      <c r="CD10" s="67">
        <f>IF($AZ$32="d",'Profils de colonie'!K36,IF($AZ$32="n",'Profils de colonie'!K64,IF($AZ$32="p",'Profils de colonie'!K92,IF($AZ$32="a",'Profils de colonie'!K120,IF($AZ$32="b",'Profils de colonie'!K148,IF($AZ$32="c",'Profils de colonie'!K176,IF($AZ$32="r",'Profils de colonie'!K204,IF($AZ$32="s",'Profils de colonie'!K204,IF($AZ$32="f",'Profils de colonie'!K260,"erreur")))))))))</f>
        <v>0</v>
      </c>
      <c r="CE10" s="87">
        <f t="shared" si="42"/>
        <v>0</v>
      </c>
      <c r="CF10" s="63">
        <f t="shared" si="43"/>
        <v>0</v>
      </c>
      <c r="CG10" s="84">
        <f t="shared" si="44"/>
        <v>0</v>
      </c>
      <c r="CH10" s="60">
        <f t="shared" si="13"/>
        <v>0</v>
      </c>
      <c r="CI10" s="61">
        <f t="shared" si="45"/>
        <v>0</v>
      </c>
      <c r="CJ10" s="266">
        <f t="shared" si="14"/>
        <v>0</v>
      </c>
      <c r="CK10" s="267">
        <f t="shared" si="46"/>
        <v>0</v>
      </c>
      <c r="CL10" s="61">
        <f t="shared" si="15"/>
        <v>21.438410362258907</v>
      </c>
      <c r="CM10" s="265">
        <v>1</v>
      </c>
      <c r="CN10" s="71">
        <f t="shared" si="16"/>
        <v>4.2749999999999995</v>
      </c>
      <c r="CO10" s="65">
        <f t="shared" si="47"/>
        <v>9.8493837450082944E-2</v>
      </c>
      <c r="CP10" s="85">
        <f t="shared" si="48"/>
        <v>0.65081532324296698</v>
      </c>
      <c r="CQ10" s="59">
        <f t="shared" si="49"/>
        <v>5400</v>
      </c>
      <c r="CR10" s="59">
        <f t="shared" si="17"/>
        <v>78.421391053930151</v>
      </c>
      <c r="CS10" s="62">
        <f t="shared" si="18"/>
        <v>1.4522479824801879E-2</v>
      </c>
      <c r="CT10" s="263">
        <f t="shared" si="19"/>
        <v>1.4417537237738531E-2</v>
      </c>
      <c r="CU10" s="265">
        <f t="shared" si="50"/>
        <v>1.0072089550659338</v>
      </c>
      <c r="CV10" s="64">
        <f t="shared" si="20"/>
        <v>1</v>
      </c>
      <c r="CW10" s="62">
        <f t="shared" si="21"/>
        <v>18.438410362258907</v>
      </c>
      <c r="CX10" s="264">
        <v>1</v>
      </c>
      <c r="CY10" s="70">
        <f t="shared" si="51"/>
        <v>2.2586249999999999</v>
      </c>
      <c r="CZ10" s="66">
        <f t="shared" si="22"/>
        <v>6.518049768398862E-2</v>
      </c>
      <c r="DA10" s="91">
        <f t="shared" si="23"/>
        <v>4.2420466669342516E-2</v>
      </c>
      <c r="DB10" s="23">
        <f t="shared" si="24"/>
        <v>-5.0125418235442863E-3</v>
      </c>
      <c r="DC10" s="28">
        <f t="shared" si="25"/>
        <v>3.7407924845798232E-2</v>
      </c>
      <c r="DD10" s="28"/>
      <c r="DE10" s="270">
        <f>IF(OR($AZ$32="n",$AZ$32="p"),0,DR9)</f>
        <v>120.49714911929527</v>
      </c>
      <c r="DF10" s="178">
        <f t="shared" si="26"/>
        <v>84.348004383506691</v>
      </c>
      <c r="DG10" s="177">
        <f t="shared" si="52"/>
        <v>84.348004383506691</v>
      </c>
      <c r="DH10" s="116">
        <f t="shared" si="53"/>
        <v>76.441445950011058</v>
      </c>
      <c r="DI10" s="13">
        <f t="shared" si="54"/>
        <v>196.93859506930633</v>
      </c>
      <c r="DJ10" s="199">
        <f t="shared" si="55"/>
        <v>14.45512880730314</v>
      </c>
      <c r="DK10" s="107">
        <f t="shared" si="27"/>
        <v>182.48346626200319</v>
      </c>
      <c r="DL10" s="182">
        <f>'Immigration de varroas'!E17</f>
        <v>0</v>
      </c>
      <c r="DM10" s="109">
        <f t="shared" si="56"/>
        <v>-10.686585114882972</v>
      </c>
      <c r="DN10" s="82">
        <f t="shared" si="64"/>
        <v>-10.686585114882972</v>
      </c>
      <c r="DO10" s="198">
        <f t="shared" si="28"/>
        <v>171.79688114712022</v>
      </c>
      <c r="DP10" s="278">
        <f>EO$33</f>
        <v>0</v>
      </c>
      <c r="DQ10" s="107">
        <f t="shared" si="57"/>
        <v>0</v>
      </c>
      <c r="DR10" s="79">
        <f t="shared" si="29"/>
        <v>171.79688114712022</v>
      </c>
      <c r="DS10" s="23">
        <f t="shared" si="30"/>
        <v>2.332186925067713E-2</v>
      </c>
      <c r="DT10" s="158">
        <f t="shared" si="31"/>
        <v>40617</v>
      </c>
      <c r="DU10" s="74">
        <f t="shared" si="32"/>
        <v>42.075758065365129</v>
      </c>
      <c r="DV10" s="23">
        <f t="shared" si="33"/>
        <v>3.5063131721137608E-3</v>
      </c>
      <c r="DW10" s="114">
        <f t="shared" si="34"/>
        <v>1.1044886492158346</v>
      </c>
      <c r="DX10" s="179" t="str">
        <f t="shared" si="66"/>
        <v/>
      </c>
      <c r="DY10" s="179" t="str">
        <f t="shared" si="67"/>
        <v/>
      </c>
      <c r="DZ10" s="179"/>
      <c r="EA10">
        <f t="shared" si="68"/>
        <v>0</v>
      </c>
      <c r="EB10" s="13">
        <f t="shared" si="58"/>
        <v>3079.6875</v>
      </c>
      <c r="EC10" s="14">
        <f t="shared" si="59"/>
        <v>-2000</v>
      </c>
      <c r="ED10" s="13">
        <f t="shared" si="60"/>
        <v>5079.6875</v>
      </c>
      <c r="EE10" s="13">
        <f t="shared" si="65"/>
        <v>334.00684931506851</v>
      </c>
      <c r="EF10" s="17">
        <f t="shared" si="61"/>
        <v>0.6</v>
      </c>
      <c r="EG10" s="197">
        <f t="shared" si="62"/>
        <v>10.686585114882972</v>
      </c>
      <c r="EI10" s="13">
        <f t="shared" si="63"/>
        <v>76.441445950011058</v>
      </c>
      <c r="EJ10" s="131">
        <f>EO$58</f>
        <v>34.332154659360008</v>
      </c>
      <c r="EK10" s="31">
        <f>EN$60</f>
        <v>0</v>
      </c>
      <c r="EO10" s="2">
        <v>40617</v>
      </c>
      <c r="EP10" s="193">
        <v>42993</v>
      </c>
      <c r="ER10" s="17"/>
      <c r="ES10">
        <v>10.08</v>
      </c>
    </row>
    <row r="11" spans="1:168" ht="16.44">
      <c r="B11" s="284"/>
      <c r="AE11" s="274"/>
      <c r="AF11" s="282"/>
      <c r="AZ11" s="288">
        <f t="shared" si="35"/>
        <v>40634</v>
      </c>
      <c r="BA11" s="48">
        <f t="shared" si="0"/>
        <v>171.79688114712022</v>
      </c>
      <c r="BB11" s="222">
        <f t="shared" si="36"/>
        <v>3.018934019778818E-2</v>
      </c>
      <c r="BC11" s="173">
        <f t="shared" si="1"/>
        <v>0</v>
      </c>
      <c r="BD11" s="99">
        <f t="shared" si="37"/>
        <v>1.2121397735631125</v>
      </c>
      <c r="BE11" s="4">
        <f t="shared" si="2"/>
        <v>1.4192598604335971E-2</v>
      </c>
      <c r="BF11" s="3">
        <f t="shared" si="3"/>
        <v>0.26878691260437249</v>
      </c>
      <c r="BG11" s="380"/>
      <c r="BH11" s="397"/>
      <c r="BI11" s="398"/>
      <c r="BJ11" s="398"/>
      <c r="BK11" s="398"/>
      <c r="BL11" s="399"/>
      <c r="BN11" s="392"/>
      <c r="BO11" s="158">
        <f t="shared" si="38"/>
        <v>40634</v>
      </c>
      <c r="BP11" s="373">
        <f>IF($AZ$32="d",'Profils de colonie'!I37,IF($AZ$32="n",'Profils de colonie'!I65,IF($AZ$32="p",'Profils de colonie'!I93,IF($AZ$32="a",'Profils de colonie'!I121,IF($AZ$32="b",'Profils de colonie'!I149,IF($AZ$32="c",'Profils de colonie'!I177,IF($AZ$32="r",'Profils de colonie'!I205,IF($AZ$32="s",'Profils de colonie'!I233,IF($AZ$32="f",'Profils de colonie'!I261,"erreur")))))))))</f>
        <v>6</v>
      </c>
      <c r="BQ11">
        <f t="shared" si="4"/>
        <v>12000</v>
      </c>
      <c r="BR11" s="68">
        <f>IF($AZ$32="d",'Profils de colonie'!G37,IF($AZ$32="n",'Profils de colonie'!G65,IF($AZ$32="p",'Profils de colonie'!G93,IF($AZ$32="a",'Profils de colonie'!G121,IF($AZ$32="b",'Profils de colonie'!G149,IF($AZ$32="c",'Profils de colonie'!G177,IF($AZ$32="r",'Profils de colonie'!G205,IF($AZ$32="s",'Profils de colonie'!G233,IF($AZ$32="f",'Profils de colonie'!G261,"erreur")))))))))</f>
        <v>3</v>
      </c>
      <c r="BS11" s="13">
        <f t="shared" si="5"/>
        <v>13500</v>
      </c>
      <c r="BT11" s="17">
        <f t="shared" si="6"/>
        <v>1.125</v>
      </c>
      <c r="BU11">
        <f t="shared" si="39"/>
        <v>8100</v>
      </c>
      <c r="BV11" s="14">
        <f t="shared" si="40"/>
        <v>114.96004869512136</v>
      </c>
      <c r="BW11" s="14">
        <f t="shared" si="7"/>
        <v>675</v>
      </c>
      <c r="BX11" s="89">
        <f t="shared" si="41"/>
        <v>4.4110848217180827</v>
      </c>
      <c r="BY11" s="21">
        <f t="shared" si="8"/>
        <v>16.411084821718084</v>
      </c>
      <c r="BZ11" s="26">
        <f t="shared" si="9"/>
        <v>0.26878691260437249</v>
      </c>
      <c r="CA11" s="103">
        <f t="shared" si="10"/>
        <v>0.73121308739562751</v>
      </c>
      <c r="CB11" s="22">
        <f t="shared" si="11"/>
        <v>125.62012786852544</v>
      </c>
      <c r="CC11" s="5">
        <f t="shared" si="12"/>
        <v>8100</v>
      </c>
      <c r="CD11" s="67">
        <f>IF($AZ$32="d",'Profils de colonie'!K37,IF($AZ$32="n",'Profils de colonie'!K65,IF($AZ$32="p",'Profils de colonie'!K93,IF($AZ$32="a",'Profils de colonie'!K121,IF($AZ$32="b",'Profils de colonie'!K149,IF($AZ$32="c",'Profils de colonie'!K177,IF($AZ$32="r",'Profils de colonie'!K205,IF($AZ$32="s",'Profils de colonie'!K205,IF($AZ$32="f",'Profils de colonie'!K261,"erreur")))))))))</f>
        <v>0.03</v>
      </c>
      <c r="CE11" s="87">
        <f t="shared" si="42"/>
        <v>1.9199999999999998E-2</v>
      </c>
      <c r="CF11" s="63">
        <f t="shared" si="43"/>
        <v>9.5999999999999988E-2</v>
      </c>
      <c r="CG11" s="84">
        <f t="shared" si="44"/>
        <v>7.0196456389980233E-2</v>
      </c>
      <c r="CH11" s="60">
        <f t="shared" si="13"/>
        <v>12.059532275378441</v>
      </c>
      <c r="CI11" s="61">
        <f t="shared" si="45"/>
        <v>7.7543288807731758E-2</v>
      </c>
      <c r="CJ11" s="266">
        <f t="shared" si="14"/>
        <v>7.4613035368816027E-2</v>
      </c>
      <c r="CK11" s="267">
        <f t="shared" si="46"/>
        <v>1.0392726743313865</v>
      </c>
      <c r="CL11" s="61">
        <f t="shared" si="15"/>
        <v>19.411084821718084</v>
      </c>
      <c r="CM11" s="265">
        <v>1</v>
      </c>
      <c r="CN11" s="71">
        <f t="shared" si="16"/>
        <v>4.2749999999999995</v>
      </c>
      <c r="CO11" s="65">
        <f t="shared" si="47"/>
        <v>9.8493837450082944E-2</v>
      </c>
      <c r="CP11" s="85">
        <f t="shared" si="48"/>
        <v>0.66101663100564734</v>
      </c>
      <c r="CQ11" s="59">
        <f t="shared" si="49"/>
        <v>7944.4800000000005</v>
      </c>
      <c r="CR11" s="59">
        <f t="shared" si="17"/>
        <v>113.560595593147</v>
      </c>
      <c r="CS11" s="62">
        <f t="shared" si="18"/>
        <v>1.4294276729647126E-2</v>
      </c>
      <c r="CT11" s="263">
        <f t="shared" si="19"/>
        <v>1.4192598604335971E-2</v>
      </c>
      <c r="CU11" s="265">
        <f t="shared" si="50"/>
        <v>1.0070932064600164</v>
      </c>
      <c r="CV11" s="64">
        <f t="shared" si="20"/>
        <v>0.90400000000000003</v>
      </c>
      <c r="CW11" s="62">
        <f t="shared" si="21"/>
        <v>16.411084821718084</v>
      </c>
      <c r="CX11" s="264">
        <v>1</v>
      </c>
      <c r="CY11" s="70">
        <f t="shared" si="51"/>
        <v>2.2586249999999999</v>
      </c>
      <c r="CZ11" s="66">
        <f t="shared" si="22"/>
        <v>6.518049768398862E-2</v>
      </c>
      <c r="DA11" s="91">
        <f t="shared" si="23"/>
        <v>4.9999311351588104E-2</v>
      </c>
      <c r="DB11" s="23">
        <f t="shared" si="24"/>
        <v>-5.0125418235442863E-3</v>
      </c>
      <c r="DC11" s="28">
        <f t="shared" si="25"/>
        <v>4.498676952804382E-2</v>
      </c>
      <c r="DD11" s="28"/>
      <c r="DE11" s="271">
        <f>IF(OR($AZ$32="n",$AZ$32="p"),AZ33,DR10)</f>
        <v>171.79688114712022</v>
      </c>
      <c r="DF11" s="178">
        <f t="shared" si="26"/>
        <v>120.25781680298414</v>
      </c>
      <c r="DG11" s="177">
        <f t="shared" si="52"/>
        <v>120.25781680298414</v>
      </c>
      <c r="DH11" s="116">
        <f t="shared" si="53"/>
        <v>136.99108480094961</v>
      </c>
      <c r="DI11" s="13">
        <f t="shared" si="54"/>
        <v>308.78796594806983</v>
      </c>
      <c r="DJ11" s="199">
        <f t="shared" si="55"/>
        <v>22.664779447389037</v>
      </c>
      <c r="DK11" s="107">
        <f t="shared" si="27"/>
        <v>286.12318650068079</v>
      </c>
      <c r="DL11" s="182">
        <f>'Immigration de varroas'!E18</f>
        <v>0</v>
      </c>
      <c r="DM11" s="109">
        <f t="shared" si="56"/>
        <v>-14.220996986267231</v>
      </c>
      <c r="DN11" s="82">
        <f t="shared" si="64"/>
        <v>-14.220996986267231</v>
      </c>
      <c r="DO11" s="198">
        <f t="shared" si="28"/>
        <v>271.90218951441358</v>
      </c>
      <c r="DP11" s="278">
        <f>EP$33</f>
        <v>0</v>
      </c>
      <c r="DQ11" s="107">
        <f t="shared" si="57"/>
        <v>0</v>
      </c>
      <c r="DR11" s="79">
        <f t="shared" si="29"/>
        <v>271.90218951441358</v>
      </c>
      <c r="DS11" s="23">
        <f t="shared" si="30"/>
        <v>3.018934019778818E-2</v>
      </c>
      <c r="DT11" s="158">
        <f t="shared" si="31"/>
        <v>40634</v>
      </c>
      <c r="DU11" s="74">
        <f t="shared" si="32"/>
        <v>46.176753278594767</v>
      </c>
      <c r="DV11" s="23">
        <f t="shared" si="33"/>
        <v>3.8480627732162304E-3</v>
      </c>
      <c r="DW11" s="114">
        <f t="shared" si="34"/>
        <v>1.2121397735631125</v>
      </c>
      <c r="DX11" s="179" t="str">
        <f t="shared" si="66"/>
        <v/>
      </c>
      <c r="DY11" s="179" t="str">
        <f t="shared" si="67"/>
        <v/>
      </c>
      <c r="DZ11" s="179"/>
      <c r="EA11">
        <f t="shared" si="68"/>
        <v>0</v>
      </c>
      <c r="EB11" s="13">
        <f t="shared" si="58"/>
        <v>6159.375</v>
      </c>
      <c r="EC11" s="14">
        <f t="shared" si="59"/>
        <v>0</v>
      </c>
      <c r="ED11" s="13">
        <f t="shared" si="60"/>
        <v>6159.375</v>
      </c>
      <c r="EE11" s="13">
        <f t="shared" si="65"/>
        <v>405</v>
      </c>
      <c r="EF11" s="17">
        <f t="shared" si="61"/>
        <v>0.6</v>
      </c>
      <c r="EG11" s="197">
        <f t="shared" si="62"/>
        <v>14.220996986267231</v>
      </c>
      <c r="EI11" s="13">
        <f t="shared" si="63"/>
        <v>136.99108480094961</v>
      </c>
      <c r="EJ11" s="131">
        <f>EP$58</f>
        <v>42.563472754352446</v>
      </c>
      <c r="EK11" s="272">
        <f>IF(OR($AZ$32="n",$AZ$32="p"),0.15,EO60)</f>
        <v>0.16612725285490509</v>
      </c>
      <c r="EO11" s="2">
        <v>40634</v>
      </c>
      <c r="EP11" s="193">
        <v>43009</v>
      </c>
      <c r="ER11" s="17"/>
    </row>
    <row r="12" spans="1:168" ht="16" customHeight="1">
      <c r="B12" s="284"/>
      <c r="AE12" s="274"/>
      <c r="AF12" s="282"/>
      <c r="AZ12" s="288">
        <f t="shared" si="35"/>
        <v>40648</v>
      </c>
      <c r="BA12" s="48">
        <f t="shared" si="0"/>
        <v>271.90218951441358</v>
      </c>
      <c r="BB12" s="222">
        <f t="shared" si="36"/>
        <v>3.7146173713600836E-2</v>
      </c>
      <c r="BC12" s="173">
        <f t="shared" si="1"/>
        <v>0</v>
      </c>
      <c r="BD12" s="99">
        <f t="shared" si="37"/>
        <v>1.1533129512436615</v>
      </c>
      <c r="BE12" s="4">
        <f t="shared" si="2"/>
        <v>1.3189769208851398E-2</v>
      </c>
      <c r="BF12" s="3">
        <f t="shared" si="3"/>
        <v>0.21544870751458203</v>
      </c>
      <c r="BG12" s="379">
        <v>0.5</v>
      </c>
      <c r="BH12" s="378" t="s">
        <v>102</v>
      </c>
      <c r="BI12" s="378"/>
      <c r="BJ12" s="378"/>
      <c r="BK12" s="378"/>
      <c r="BL12" s="378"/>
      <c r="BN12" s="392"/>
      <c r="BO12" s="158">
        <f t="shared" si="38"/>
        <v>40648</v>
      </c>
      <c r="BP12" s="373">
        <f>IF($AZ$32="d",'Profils de colonie'!I38,IF($AZ$32="n",'Profils de colonie'!I66,IF($AZ$32="p",'Profils de colonie'!I94,IF($AZ$32="a",'Profils de colonie'!I122,IF($AZ$32="b",'Profils de colonie'!I150,IF($AZ$32="c",'Profils de colonie'!I178,IF($AZ$32="r",'Profils de colonie'!I206,IF($AZ$32="s",'Profils de colonie'!I234,IF($AZ$32="f",'Profils de colonie'!I262,"erreur")))))))))</f>
        <v>8</v>
      </c>
      <c r="BQ12">
        <f t="shared" si="4"/>
        <v>16000</v>
      </c>
      <c r="BR12" s="68">
        <f>IF($AZ$32="d",'Profils de colonie'!G38,IF($AZ$32="n",'Profils de colonie'!G66,IF($AZ$32="p",'Profils de colonie'!G94,IF($AZ$32="a",'Profils de colonie'!G122,IF($AZ$32="b",'Profils de colonie'!G150,IF($AZ$32="c",'Profils de colonie'!G178,IF($AZ$32="r",'Profils de colonie'!G206,IF($AZ$32="s",'Profils de colonie'!G234,IF($AZ$32="f",'Profils de colonie'!G262,"erreur")))))))))</f>
        <v>5</v>
      </c>
      <c r="BS12" s="13">
        <f t="shared" si="5"/>
        <v>22500</v>
      </c>
      <c r="BT12" s="17">
        <f t="shared" si="6"/>
        <v>1.40625</v>
      </c>
      <c r="BU12">
        <f t="shared" si="39"/>
        <v>13500</v>
      </c>
      <c r="BV12" s="14">
        <f t="shared" si="40"/>
        <v>178.06188431949388</v>
      </c>
      <c r="BW12" s="14">
        <f t="shared" si="7"/>
        <v>1125</v>
      </c>
      <c r="BX12" s="89">
        <f t="shared" si="41"/>
        <v>3.2953670651470341</v>
      </c>
      <c r="BY12" s="21">
        <f t="shared" si="8"/>
        <v>15.295367065147033</v>
      </c>
      <c r="BZ12" s="26">
        <f t="shared" si="9"/>
        <v>0.21544870751458203</v>
      </c>
      <c r="CA12" s="103">
        <f t="shared" si="10"/>
        <v>0.78455129248541799</v>
      </c>
      <c r="CB12" s="22">
        <f t="shared" si="11"/>
        <v>213.32121421314824</v>
      </c>
      <c r="CC12" s="5">
        <f t="shared" si="12"/>
        <v>13500</v>
      </c>
      <c r="CD12" s="67">
        <f>IF($AZ$32="d",'Profils de colonie'!K38,IF($AZ$32="n",'Profils de colonie'!K66,IF($AZ$32="p",'Profils de colonie'!K94,IF($AZ$32="a",'Profils de colonie'!K122,IF($AZ$32="b",'Profils de colonie'!K150,IF($AZ$32="c",'Profils de colonie'!K178,IF($AZ$32="r",'Profils de colonie'!K206,IF($AZ$32="s",'Profils de colonie'!K206,IF($AZ$32="f",'Profils de colonie'!K262,"erreur")))))))))</f>
        <v>0.06</v>
      </c>
      <c r="CE12" s="87">
        <f t="shared" si="42"/>
        <v>3.8399999999999997E-2</v>
      </c>
      <c r="CF12" s="63">
        <f t="shared" si="43"/>
        <v>0.19199999999999998</v>
      </c>
      <c r="CG12" s="84">
        <f t="shared" si="44"/>
        <v>0.15063384815720024</v>
      </c>
      <c r="CH12" s="60">
        <f t="shared" si="13"/>
        <v>40.957673128924455</v>
      </c>
      <c r="CI12" s="61">
        <f t="shared" si="45"/>
        <v>7.9007857115980823E-2</v>
      </c>
      <c r="CJ12" s="266">
        <f t="shared" si="14"/>
        <v>7.596733581524806E-2</v>
      </c>
      <c r="CK12" s="267">
        <f t="shared" si="46"/>
        <v>1.0400240612376783</v>
      </c>
      <c r="CL12" s="61">
        <f t="shared" si="15"/>
        <v>18.295367065147033</v>
      </c>
      <c r="CM12" s="265">
        <v>1</v>
      </c>
      <c r="CN12" s="71">
        <f t="shared" si="16"/>
        <v>4.2749999999999995</v>
      </c>
      <c r="CO12" s="65">
        <f t="shared" si="47"/>
        <v>9.8493837450082944E-2</v>
      </c>
      <c r="CP12" s="85">
        <f t="shared" si="48"/>
        <v>0.63391744432821773</v>
      </c>
      <c r="CQ12" s="59">
        <f t="shared" si="49"/>
        <v>12981.6</v>
      </c>
      <c r="CR12" s="59">
        <f t="shared" si="17"/>
        <v>172.36354108422378</v>
      </c>
      <c r="CS12" s="62">
        <f t="shared" si="18"/>
        <v>1.3277526736629058E-2</v>
      </c>
      <c r="CT12" s="263">
        <f t="shared" si="19"/>
        <v>1.3189769208851398E-2</v>
      </c>
      <c r="CU12" s="265">
        <f t="shared" si="50"/>
        <v>1.0065771393922534</v>
      </c>
      <c r="CV12" s="64">
        <f t="shared" si="20"/>
        <v>0.80800000000000005</v>
      </c>
      <c r="CW12" s="62">
        <f t="shared" si="21"/>
        <v>15.295367065147033</v>
      </c>
      <c r="CX12" s="264">
        <v>1</v>
      </c>
      <c r="CY12" s="70">
        <f t="shared" si="51"/>
        <v>2.2586249999999999</v>
      </c>
      <c r="CZ12" s="66">
        <f t="shared" si="22"/>
        <v>6.518049768398862E-2</v>
      </c>
      <c r="DA12" s="91">
        <f t="shared" si="23"/>
        <v>5.6155560266751142E-2</v>
      </c>
      <c r="DB12" s="23">
        <f t="shared" si="24"/>
        <v>-5.0125418235442863E-3</v>
      </c>
      <c r="DC12" s="28">
        <f t="shared" si="25"/>
        <v>5.1143018443206859E-2</v>
      </c>
      <c r="DD12" s="28"/>
      <c r="DE12" s="270">
        <f>DR11</f>
        <v>271.90218951441358</v>
      </c>
      <c r="DF12" s="178">
        <f t="shared" si="26"/>
        <v>190.33153266008949</v>
      </c>
      <c r="DG12" s="177">
        <f t="shared" si="52"/>
        <v>190.33153266008949</v>
      </c>
      <c r="DH12" s="116">
        <f t="shared" si="53"/>
        <v>256.77636146534599</v>
      </c>
      <c r="DI12" s="13">
        <f t="shared" si="54"/>
        <v>528.67855097975962</v>
      </c>
      <c r="DJ12" s="199">
        <f t="shared" si="55"/>
        <v>38.804565196483736</v>
      </c>
      <c r="DK12" s="107">
        <f t="shared" si="27"/>
        <v>489.87398578327588</v>
      </c>
      <c r="DL12" s="182">
        <f>'Immigration de varroas'!E19</f>
        <v>0</v>
      </c>
      <c r="DM12" s="109">
        <f t="shared" si="56"/>
        <v>-11.509102159285705</v>
      </c>
      <c r="DN12" s="82">
        <f t="shared" si="64"/>
        <v>-11.509102159285705</v>
      </c>
      <c r="DO12" s="198">
        <f t="shared" si="28"/>
        <v>478.36488362399018</v>
      </c>
      <c r="DP12" s="278">
        <f>EQ$33</f>
        <v>0</v>
      </c>
      <c r="DQ12" s="107">
        <f t="shared" si="57"/>
        <v>0</v>
      </c>
      <c r="DR12" s="79">
        <f t="shared" si="29"/>
        <v>478.36488362399018</v>
      </c>
      <c r="DS12" s="23">
        <f t="shared" si="30"/>
        <v>3.7146173713600836E-2</v>
      </c>
      <c r="DT12" s="158">
        <f t="shared" si="31"/>
        <v>40648</v>
      </c>
      <c r="DU12" s="74">
        <f t="shared" si="32"/>
        <v>58.580975301265347</v>
      </c>
      <c r="DV12" s="23">
        <f t="shared" si="33"/>
        <v>3.6613109563290842E-3</v>
      </c>
      <c r="DW12" s="114">
        <f t="shared" si="34"/>
        <v>1.1533129512436615</v>
      </c>
      <c r="DX12" s="179" t="str">
        <f t="shared" si="66"/>
        <v/>
      </c>
      <c r="DY12" s="179" t="str">
        <f t="shared" si="67"/>
        <v/>
      </c>
      <c r="DZ12" s="179"/>
      <c r="EA12">
        <f t="shared" si="68"/>
        <v>0</v>
      </c>
      <c r="EB12" s="13">
        <f t="shared" si="58"/>
        <v>9239.0625</v>
      </c>
      <c r="EC12" s="14">
        <f t="shared" si="59"/>
        <v>4000</v>
      </c>
      <c r="ED12" s="13">
        <f t="shared" si="60"/>
        <v>5239.0625</v>
      </c>
      <c r="EE12" s="13">
        <f t="shared" si="65"/>
        <v>344.48630136986299</v>
      </c>
      <c r="EF12" s="17">
        <f t="shared" si="61"/>
        <v>0.6</v>
      </c>
      <c r="EG12" s="197">
        <f t="shared" si="62"/>
        <v>11.509102159285705</v>
      </c>
      <c r="EI12" s="13">
        <f t="shared" si="63"/>
        <v>256.77636146534599</v>
      </c>
      <c r="EJ12" s="131">
        <f>EQ$58</f>
        <v>53.536682428122376</v>
      </c>
      <c r="EK12" s="31">
        <f>EP$60</f>
        <v>0.12949658067786646</v>
      </c>
      <c r="EO12" s="2">
        <v>40648</v>
      </c>
      <c r="EP12" s="193">
        <v>43023</v>
      </c>
      <c r="ER12" s="17">
        <v>0.62</v>
      </c>
      <c r="ES12">
        <v>7.875</v>
      </c>
    </row>
    <row r="13" spans="1:168" ht="16.44">
      <c r="B13" s="284"/>
      <c r="AE13" s="274"/>
      <c r="AF13" s="282"/>
      <c r="AZ13" s="288">
        <f t="shared" si="35"/>
        <v>40664</v>
      </c>
      <c r="BA13" s="48">
        <f t="shared" si="0"/>
        <v>478.36488362399018</v>
      </c>
      <c r="BB13" s="222">
        <f t="shared" si="36"/>
        <v>3.4246156116926579E-2</v>
      </c>
      <c r="BC13" s="173">
        <f t="shared" si="1"/>
        <v>0</v>
      </c>
      <c r="BD13" s="99">
        <f t="shared" si="37"/>
        <v>1.7046207857846811</v>
      </c>
      <c r="BE13" s="4">
        <f t="shared" si="2"/>
        <v>1.8464304414237409E-2</v>
      </c>
      <c r="BF13" s="3">
        <f t="shared" si="3"/>
        <v>0.24887462343620659</v>
      </c>
      <c r="BG13" s="380"/>
      <c r="BH13" s="378"/>
      <c r="BI13" s="378"/>
      <c r="BJ13" s="378"/>
      <c r="BK13" s="378"/>
      <c r="BL13" s="378"/>
      <c r="BN13" s="392"/>
      <c r="BO13" s="158">
        <f t="shared" si="38"/>
        <v>40664</v>
      </c>
      <c r="BP13" s="373">
        <f>IF($AZ$32="d",'Profils de colonie'!I39,IF($AZ$32="n",'Profils de colonie'!I67,IF($AZ$32="p",'Profils de colonie'!I95,IF($AZ$32="a",'Profils de colonie'!I123,IF($AZ$32="b",'Profils de colonie'!I151,IF($AZ$32="c",'Profils de colonie'!I179,IF($AZ$32="r",'Profils de colonie'!I207,IF($AZ$32="s",'Profils de colonie'!I235,IF($AZ$32="f",'Profils de colonie'!I263,"erreur")))))))))</f>
        <v>11</v>
      </c>
      <c r="BQ13">
        <f t="shared" si="4"/>
        <v>22000</v>
      </c>
      <c r="BR13" s="68">
        <f>IF($AZ$32="d",'Profils de colonie'!G39,IF($AZ$32="n",'Profils de colonie'!G67,IF($AZ$32="p",'Profils de colonie'!G95,IF($AZ$32="a",'Profils de colonie'!G123,IF($AZ$32="b",'Profils de colonie'!G151,IF($AZ$32="c",'Profils de colonie'!G179,IF($AZ$32="r",'Profils de colonie'!G207,IF($AZ$32="s",'Profils de colonie'!G235,IF($AZ$32="f",'Profils de colonie'!G263,"erreur")))))))))</f>
        <v>6</v>
      </c>
      <c r="BS13" s="13">
        <f t="shared" si="5"/>
        <v>27000</v>
      </c>
      <c r="BT13" s="17">
        <f t="shared" si="6"/>
        <v>1.2272727272727273</v>
      </c>
      <c r="BU13">
        <f t="shared" si="39"/>
        <v>16200</v>
      </c>
      <c r="BV13" s="14">
        <f t="shared" si="40"/>
        <v>299.12173151064604</v>
      </c>
      <c r="BW13" s="14">
        <f t="shared" si="7"/>
        <v>1350</v>
      </c>
      <c r="BX13" s="89">
        <f t="shared" si="41"/>
        <v>3.9760279367699338</v>
      </c>
      <c r="BY13" s="21">
        <f t="shared" si="8"/>
        <v>15.976027936769935</v>
      </c>
      <c r="BZ13" s="26">
        <f t="shared" si="9"/>
        <v>0.24887462343620659</v>
      </c>
      <c r="CA13" s="103">
        <f t="shared" si="10"/>
        <v>0.75112537656379341</v>
      </c>
      <c r="CB13" s="22">
        <f t="shared" si="11"/>
        <v>359.31200334696484</v>
      </c>
      <c r="CC13" s="5">
        <f t="shared" si="12"/>
        <v>16200</v>
      </c>
      <c r="CD13" s="67">
        <f>IF($AZ$32="d",'Profils de colonie'!K39,IF($AZ$32="n",'Profils de colonie'!K67,IF($AZ$32="p",'Profils de colonie'!K95,IF($AZ$32="a",'Profils de colonie'!K123,IF($AZ$32="b",'Profils de colonie'!K151,IF($AZ$32="c",'Profils de colonie'!K179,IF($AZ$32="r",'Profils de colonie'!K207,IF($AZ$32="s",'Profils de colonie'!K207,IF($AZ$32="f",'Profils de colonie'!K263,"erreur")))))))))</f>
        <v>0.06</v>
      </c>
      <c r="CE13" s="87">
        <f t="shared" si="42"/>
        <v>3.8399999999999997E-2</v>
      </c>
      <c r="CF13" s="63">
        <f t="shared" si="43"/>
        <v>0.19199999999999998</v>
      </c>
      <c r="CG13" s="84">
        <f t="shared" si="44"/>
        <v>0.14421607230024833</v>
      </c>
      <c r="CH13" s="60">
        <f t="shared" si="13"/>
        <v>68.987904642617238</v>
      </c>
      <c r="CI13" s="61">
        <f t="shared" si="45"/>
        <v>0.1108987664651126</v>
      </c>
      <c r="CJ13" s="266">
        <f t="shared" si="14"/>
        <v>0.10497064867198402</v>
      </c>
      <c r="CK13" s="267">
        <f t="shared" si="46"/>
        <v>1.0564740512526789</v>
      </c>
      <c r="CL13" s="61">
        <f t="shared" si="15"/>
        <v>18.976027936769935</v>
      </c>
      <c r="CM13" s="265">
        <v>1</v>
      </c>
      <c r="CN13" s="71">
        <f t="shared" si="16"/>
        <v>4.2749999999999995</v>
      </c>
      <c r="CO13" s="65">
        <f t="shared" si="47"/>
        <v>9.8493837450082944E-2</v>
      </c>
      <c r="CP13" s="85">
        <f t="shared" si="48"/>
        <v>0.60690930426354506</v>
      </c>
      <c r="CQ13" s="59">
        <f t="shared" si="49"/>
        <v>15577.92</v>
      </c>
      <c r="CR13" s="59">
        <f t="shared" si="17"/>
        <v>290.32409870434759</v>
      </c>
      <c r="CS13" s="62">
        <f>CR13/CQ13</f>
        <v>1.8636897525751036E-2</v>
      </c>
      <c r="CT13" s="263">
        <f t="shared" si="19"/>
        <v>1.8464304414237409E-2</v>
      </c>
      <c r="CU13" s="265">
        <f t="shared" si="50"/>
        <v>1.0092927312577269</v>
      </c>
      <c r="CV13" s="64">
        <f t="shared" si="20"/>
        <v>0.80800000000000005</v>
      </c>
      <c r="CW13" s="62">
        <f t="shared" si="21"/>
        <v>15.976027936769935</v>
      </c>
      <c r="CX13" s="264">
        <v>1</v>
      </c>
      <c r="CY13" s="70">
        <f t="shared" si="51"/>
        <v>2.2586249999999999</v>
      </c>
      <c r="CZ13" s="66">
        <f t="shared" si="22"/>
        <v>6.518049768398862E-2</v>
      </c>
      <c r="DA13" s="91">
        <f t="shared" si="23"/>
        <v>5.3763044883771212E-2</v>
      </c>
      <c r="DB13" s="23">
        <f t="shared" si="24"/>
        <v>-5.0125418235442863E-3</v>
      </c>
      <c r="DC13" s="28">
        <f t="shared" si="25"/>
        <v>4.8750503060226928E-2</v>
      </c>
      <c r="DD13" s="28"/>
      <c r="DE13" s="270">
        <f t="shared" ref="DE13:DE29" si="69">DR12</f>
        <v>478.36488362399018</v>
      </c>
      <c r="DF13" s="178">
        <f t="shared" si="26"/>
        <v>334.85541853679308</v>
      </c>
      <c r="DG13" s="177">
        <f t="shared" si="52"/>
        <v>334.85541853679308</v>
      </c>
      <c r="DH13" s="116">
        <f t="shared" si="53"/>
        <v>423.6463723037383</v>
      </c>
      <c r="DI13" s="13">
        <f t="shared" si="54"/>
        <v>902.01125592772848</v>
      </c>
      <c r="DJ13" s="199">
        <f t="shared" si="55"/>
        <v>66.206874713836783</v>
      </c>
      <c r="DK13" s="107">
        <f t="shared" si="27"/>
        <v>835.8043812138917</v>
      </c>
      <c r="DL13" s="182">
        <f>'Immigration de varroas'!E20</f>
        <v>0</v>
      </c>
      <c r="DM13" s="109">
        <f t="shared" si="56"/>
        <v>-30.515756031234691</v>
      </c>
      <c r="DN13" s="82">
        <f t="shared" si="64"/>
        <v>-30.515756031234691</v>
      </c>
      <c r="DO13" s="198">
        <f t="shared" si="28"/>
        <v>805.28862518265703</v>
      </c>
      <c r="DP13" s="278">
        <f>ER$33</f>
        <v>0</v>
      </c>
      <c r="DQ13" s="107">
        <f t="shared" si="57"/>
        <v>0</v>
      </c>
      <c r="DR13" s="79">
        <f t="shared" si="29"/>
        <v>805.28862518265703</v>
      </c>
      <c r="DS13" s="23">
        <f t="shared" si="30"/>
        <v>3.4246156116926579E-2</v>
      </c>
      <c r="DT13" s="158">
        <f t="shared" si="31"/>
        <v>40664</v>
      </c>
      <c r="DU13" s="74">
        <f t="shared" si="32"/>
        <v>119.05288027702534</v>
      </c>
      <c r="DV13" s="23">
        <f t="shared" si="33"/>
        <v>5.4114945580466065E-3</v>
      </c>
      <c r="DW13" s="114">
        <f t="shared" si="34"/>
        <v>1.7046207857846811</v>
      </c>
      <c r="DX13" s="179" t="str">
        <f t="shared" si="66"/>
        <v/>
      </c>
      <c r="DY13" s="179" t="str">
        <f t="shared" si="67"/>
        <v/>
      </c>
      <c r="DZ13" s="179"/>
      <c r="EA13">
        <f t="shared" si="68"/>
        <v>0</v>
      </c>
      <c r="EB13" s="13">
        <f t="shared" si="58"/>
        <v>15398.4375</v>
      </c>
      <c r="EC13" s="14">
        <f t="shared" si="59"/>
        <v>6000</v>
      </c>
      <c r="ED13" s="13">
        <f t="shared" si="60"/>
        <v>9398.4375</v>
      </c>
      <c r="EE13" s="13">
        <f t="shared" si="65"/>
        <v>617.97945205479448</v>
      </c>
      <c r="EF13" s="17">
        <f t="shared" si="61"/>
        <v>0.6</v>
      </c>
      <c r="EG13" s="197">
        <f t="shared" si="62"/>
        <v>30.515756031234691</v>
      </c>
      <c r="EI13" s="13">
        <f t="shared" si="63"/>
        <v>423.6463723037383</v>
      </c>
      <c r="EJ13" s="131">
        <f>ER$58</f>
        <v>71.477407311172414</v>
      </c>
      <c r="EK13" s="31">
        <f>EQ$60</f>
        <v>9.531975744392146E-2</v>
      </c>
      <c r="EO13" s="2">
        <v>40664</v>
      </c>
      <c r="EP13" s="193">
        <v>43040</v>
      </c>
      <c r="ER13" s="17">
        <v>0.6</v>
      </c>
    </row>
    <row r="14" spans="1:168" ht="16" customHeight="1">
      <c r="B14" s="284"/>
      <c r="AE14" s="274"/>
      <c r="AF14" s="282"/>
      <c r="AZ14" s="288">
        <f t="shared" si="35"/>
        <v>40678</v>
      </c>
      <c r="BA14" s="48">
        <f t="shared" si="0"/>
        <v>805.28862518265703</v>
      </c>
      <c r="BB14" s="222">
        <f t="shared" si="36"/>
        <v>3.1148586917365301E-2</v>
      </c>
      <c r="BC14" s="173">
        <f t="shared" si="1"/>
        <v>0</v>
      </c>
      <c r="BD14" s="99">
        <f t="shared" si="37"/>
        <v>2.5310369868292493</v>
      </c>
      <c r="BE14" s="4">
        <f t="shared" si="2"/>
        <v>2.6653161851563523E-2</v>
      </c>
      <c r="BF14" s="3">
        <f t="shared" si="3"/>
        <v>0.29933508814694854</v>
      </c>
      <c r="BG14" s="381" t="s">
        <v>103</v>
      </c>
      <c r="BH14" s="378" t="s">
        <v>104</v>
      </c>
      <c r="BI14" s="378"/>
      <c r="BJ14" s="378"/>
      <c r="BK14" s="378"/>
      <c r="BL14" s="378"/>
      <c r="BN14" s="392"/>
      <c r="BO14" s="158">
        <f t="shared" si="38"/>
        <v>40678</v>
      </c>
      <c r="BP14" s="373">
        <f>IF($AZ$32="d",'Profils de colonie'!I40,IF($AZ$32="n",'Profils de colonie'!I68,IF($AZ$32="p",'Profils de colonie'!I96,IF($AZ$32="a",'Profils de colonie'!I124,IF($AZ$32="b",'Profils de colonie'!I152,IF($AZ$32="c",'Profils de colonie'!I180,IF($AZ$32="r",'Profils de colonie'!I208,IF($AZ$32="s",'Profils de colonie'!I236,IF($AZ$32="f",'Profils de colonie'!I264,"erreur")))))))))</f>
        <v>15</v>
      </c>
      <c r="BQ14">
        <f t="shared" si="4"/>
        <v>30000</v>
      </c>
      <c r="BR14" s="68">
        <f>IF($AZ$32="d",'Profils de colonie'!G40,IF($AZ$32="n",'Profils de colonie'!G68,IF($AZ$32="p",'Profils de colonie'!G96,IF($AZ$32="a",'Profils de colonie'!G124,IF($AZ$32="b",'Profils de colonie'!G152,IF($AZ$32="c",'Profils de colonie'!G180,IF($AZ$32="r",'Profils de colonie'!G208,IF($AZ$32="s",'Profils de colonie'!G236,IF($AZ$32="f",'Profils de colonie'!G264,"erreur")))))))))</f>
        <v>6.5</v>
      </c>
      <c r="BS14" s="13">
        <f t="shared" si="5"/>
        <v>29250</v>
      </c>
      <c r="BT14" s="17">
        <f t="shared" si="6"/>
        <v>0.97499999999999998</v>
      </c>
      <c r="BU14">
        <f t="shared" si="39"/>
        <v>17550</v>
      </c>
      <c r="BV14" s="14">
        <f t="shared" si="40"/>
        <v>467.7629904949398</v>
      </c>
      <c r="BW14" s="14">
        <f t="shared" si="7"/>
        <v>1462.5</v>
      </c>
      <c r="BX14" s="89">
        <f t="shared" si="41"/>
        <v>5.1265890399214493</v>
      </c>
      <c r="BY14" s="21">
        <f t="shared" si="8"/>
        <v>17.126589039921448</v>
      </c>
      <c r="BZ14" s="26">
        <f t="shared" si="9"/>
        <v>0.29933508814694854</v>
      </c>
      <c r="CA14" s="103">
        <f t="shared" si="10"/>
        <v>0.70066491185305146</v>
      </c>
      <c r="CB14" s="22">
        <f t="shared" si="11"/>
        <v>564.23748357987142</v>
      </c>
      <c r="CC14" s="5">
        <f t="shared" si="12"/>
        <v>17550</v>
      </c>
      <c r="CD14" s="67">
        <f>IF($AZ$32="d",'Profils de colonie'!K40,IF($AZ$32="n",'Profils de colonie'!K68,IF($AZ$32="p",'Profils de colonie'!K96,IF($AZ$32="a",'Profils de colonie'!K124,IF($AZ$32="b",'Profils de colonie'!K152,IF($AZ$32="c",'Profils de colonie'!K180,IF($AZ$32="r",'Profils de colonie'!K208,IF($AZ$32="s",'Profils de colonie'!K208,IF($AZ$32="f",'Profils de colonie'!K264,"erreur")))))))))</f>
        <v>0.06</v>
      </c>
      <c r="CE14" s="87">
        <f t="shared" si="42"/>
        <v>3.8399999999999997E-2</v>
      </c>
      <c r="CF14" s="63">
        <f t="shared" si="43"/>
        <v>0.19199999999999998</v>
      </c>
      <c r="CG14" s="84">
        <f t="shared" si="44"/>
        <v>0.13452766307578587</v>
      </c>
      <c r="CH14" s="60">
        <f t="shared" si="13"/>
        <v>108.3335968473353</v>
      </c>
      <c r="CI14" s="61">
        <f t="shared" si="45"/>
        <v>0.16075141982332519</v>
      </c>
      <c r="CJ14" s="266">
        <f t="shared" si="14"/>
        <v>0.14849628825566752</v>
      </c>
      <c r="CK14" s="267">
        <f t="shared" si="46"/>
        <v>1.0825282012878186</v>
      </c>
      <c r="CL14" s="61">
        <f t="shared" si="15"/>
        <v>20.126589039921448</v>
      </c>
      <c r="CM14" s="265">
        <v>1</v>
      </c>
      <c r="CN14" s="71">
        <f t="shared" si="16"/>
        <v>4.2749999999999995</v>
      </c>
      <c r="CO14" s="65">
        <f t="shared" si="47"/>
        <v>9.8493837450082944E-2</v>
      </c>
      <c r="CP14" s="85">
        <f t="shared" si="48"/>
        <v>0.56613724877726557</v>
      </c>
      <c r="CQ14" s="59">
        <f t="shared" si="49"/>
        <v>16876.080000000002</v>
      </c>
      <c r="CR14" s="59">
        <f t="shared" si="17"/>
        <v>455.90388673253614</v>
      </c>
      <c r="CS14" s="62">
        <f t="shared" si="18"/>
        <v>2.7014797674136178E-2</v>
      </c>
      <c r="CT14" s="263">
        <f t="shared" si="19"/>
        <v>2.6653161851563523E-2</v>
      </c>
      <c r="CU14" s="265">
        <f t="shared" si="50"/>
        <v>1.013530188065227</v>
      </c>
      <c r="CV14" s="64">
        <f t="shared" si="20"/>
        <v>0.80800000000000005</v>
      </c>
      <c r="CW14" s="62">
        <f t="shared" si="21"/>
        <v>17.126589039921448</v>
      </c>
      <c r="CX14" s="264">
        <v>1</v>
      </c>
      <c r="CY14" s="70">
        <f t="shared" si="51"/>
        <v>2.2586249999999999</v>
      </c>
      <c r="CZ14" s="66">
        <f t="shared" si="22"/>
        <v>6.518049768398862E-2</v>
      </c>
      <c r="DA14" s="91">
        <f t="shared" si="23"/>
        <v>5.0151253412272223E-2</v>
      </c>
      <c r="DB14" s="23">
        <f t="shared" si="24"/>
        <v>-5.0125418235442863E-3</v>
      </c>
      <c r="DC14" s="28">
        <f t="shared" si="25"/>
        <v>4.5138711588727939E-2</v>
      </c>
      <c r="DD14" s="28"/>
      <c r="DE14" s="270">
        <f t="shared" si="69"/>
        <v>805.28862518265703</v>
      </c>
      <c r="DF14" s="178">
        <f t="shared" si="26"/>
        <v>563.70203762785991</v>
      </c>
      <c r="DG14" s="177">
        <f t="shared" si="52"/>
        <v>563.70203762785991</v>
      </c>
      <c r="DH14" s="116">
        <f t="shared" si="53"/>
        <v>644.9279902549581</v>
      </c>
      <c r="DI14" s="13">
        <f t="shared" si="54"/>
        <v>1450.216615437615</v>
      </c>
      <c r="DJ14" s="199">
        <f t="shared" si="55"/>
        <v>106.44469138852469</v>
      </c>
      <c r="DK14" s="107">
        <f t="shared" si="27"/>
        <v>1343.7719240490903</v>
      </c>
      <c r="DL14" s="182">
        <f>'Immigration de varroas'!E21</f>
        <v>0</v>
      </c>
      <c r="DM14" s="109">
        <f t="shared" si="56"/>
        <v>-50.515279862133767</v>
      </c>
      <c r="DN14" s="82">
        <f t="shared" si="64"/>
        <v>-50.515279862133767</v>
      </c>
      <c r="DO14" s="198">
        <f t="shared" si="28"/>
        <v>1293.2566441869565</v>
      </c>
      <c r="DP14" s="278">
        <f>ES$33</f>
        <v>0</v>
      </c>
      <c r="DQ14" s="107">
        <f t="shared" si="57"/>
        <v>0</v>
      </c>
      <c r="DR14" s="79">
        <f t="shared" si="29"/>
        <v>1293.2566441869565</v>
      </c>
      <c r="DS14" s="23">
        <f t="shared" si="30"/>
        <v>3.1148586917365301E-2</v>
      </c>
      <c r="DT14" s="158">
        <f t="shared" si="31"/>
        <v>40678</v>
      </c>
      <c r="DU14" s="74">
        <f t="shared" si="32"/>
        <v>241.05114160278563</v>
      </c>
      <c r="DV14" s="23">
        <f t="shared" si="33"/>
        <v>8.0350380534261884E-3</v>
      </c>
      <c r="DW14" s="114">
        <f t="shared" si="34"/>
        <v>2.5310369868292493</v>
      </c>
      <c r="DX14" s="179" t="str">
        <f t="shared" si="66"/>
        <v/>
      </c>
      <c r="DY14" s="179" t="str">
        <f t="shared" si="67"/>
        <v/>
      </c>
      <c r="DZ14" s="179"/>
      <c r="EA14">
        <f t="shared" si="68"/>
        <v>0</v>
      </c>
      <c r="EB14" s="13">
        <f t="shared" si="58"/>
        <v>18478.125</v>
      </c>
      <c r="EC14" s="14">
        <f t="shared" si="59"/>
        <v>8000</v>
      </c>
      <c r="ED14" s="13">
        <f t="shared" si="60"/>
        <v>10478.125</v>
      </c>
      <c r="EE14" s="13">
        <f t="shared" si="65"/>
        <v>688.97260273972597</v>
      </c>
      <c r="EF14" s="17">
        <f t="shared" si="61"/>
        <v>0.6</v>
      </c>
      <c r="EG14" s="197">
        <f t="shared" si="62"/>
        <v>50.515279862133767</v>
      </c>
      <c r="EI14" s="13">
        <f t="shared" si="63"/>
        <v>644.9279902549581</v>
      </c>
      <c r="EJ14" s="131">
        <f>ES$58</f>
        <v>96.397033107141539</v>
      </c>
      <c r="EK14" s="31">
        <f>ER$60</f>
        <v>7.5667991589530609E-2</v>
      </c>
      <c r="EO14" s="2">
        <v>40678</v>
      </c>
      <c r="EP14" s="193">
        <v>43054</v>
      </c>
      <c r="ER14" s="17">
        <v>0.57999999999999996</v>
      </c>
      <c r="ES14">
        <v>10.08</v>
      </c>
    </row>
    <row r="15" spans="1:168" ht="16.44">
      <c r="B15" s="284"/>
      <c r="AE15" s="274"/>
      <c r="AF15" s="282"/>
      <c r="AZ15" s="288">
        <f t="shared" si="35"/>
        <v>40695</v>
      </c>
      <c r="BA15" s="48">
        <f t="shared" si="0"/>
        <v>1293.2566441869565</v>
      </c>
      <c r="BB15" s="222">
        <f t="shared" si="36"/>
        <v>2.8570837533748832E-2</v>
      </c>
      <c r="BC15" s="173">
        <f t="shared" si="1"/>
        <v>0</v>
      </c>
      <c r="BD15" s="99">
        <f t="shared" si="37"/>
        <v>3.5487671959656204</v>
      </c>
      <c r="BE15" s="4">
        <f t="shared" si="2"/>
        <v>3.8943699383302888E-2</v>
      </c>
      <c r="BF15" s="3">
        <f t="shared" si="3"/>
        <v>0.3310288417704309</v>
      </c>
      <c r="BG15" s="380"/>
      <c r="BH15" s="378"/>
      <c r="BI15" s="378"/>
      <c r="BJ15" s="378"/>
      <c r="BK15" s="378"/>
      <c r="BL15" s="378"/>
      <c r="BN15" s="392"/>
      <c r="BO15" s="158">
        <f t="shared" si="38"/>
        <v>40695</v>
      </c>
      <c r="BP15" s="373">
        <f>IF($AZ$32="d",'Profils de colonie'!I41,IF($AZ$32="n",'Profils de colonie'!I69,IF($AZ$32="p",'Profils de colonie'!I97,IF($AZ$32="a",'Profils de colonie'!I125,IF($AZ$32="b",'Profils de colonie'!I153,IF($AZ$32="c",'Profils de colonie'!I181,IF($AZ$32="r",'Profils de colonie'!I209,IF($AZ$32="s",'Profils de colonie'!I237,IF($AZ$32="f",'Profils de colonie'!I265,"erreur")))))))))</f>
        <v>19</v>
      </c>
      <c r="BQ15">
        <f t="shared" si="4"/>
        <v>38000</v>
      </c>
      <c r="BR15" s="68">
        <f>IF($AZ$32="d",'Profils de colonie'!G41,IF($AZ$32="n",'Profils de colonie'!G69,IF($AZ$32="p",'Profils de colonie'!G97,IF($AZ$32="a",'Profils de colonie'!G125,IF($AZ$32="b",'Profils de colonie'!G153,IF($AZ$32="c",'Profils de colonie'!G181,IF($AZ$32="r",'Profils de colonie'!G209,IF($AZ$32="s",'Profils de colonie'!G237,IF($AZ$32="f",'Profils de colonie'!G265,"erreur")))))))))</f>
        <v>7</v>
      </c>
      <c r="BS15" s="13">
        <f t="shared" si="5"/>
        <v>31500</v>
      </c>
      <c r="BT15" s="17">
        <f t="shared" si="6"/>
        <v>0.82894736842105265</v>
      </c>
      <c r="BU15">
        <f t="shared" si="39"/>
        <v>18900</v>
      </c>
      <c r="BV15" s="14">
        <f t="shared" si="40"/>
        <v>736.03591834442454</v>
      </c>
      <c r="BW15" s="14">
        <f t="shared" si="7"/>
        <v>1575</v>
      </c>
      <c r="BX15" s="89">
        <f t="shared" si="41"/>
        <v>5.9379930694739915</v>
      </c>
      <c r="BY15" s="21">
        <f t="shared" si="8"/>
        <v>17.93799306947399</v>
      </c>
      <c r="BZ15" s="26">
        <f t="shared" si="9"/>
        <v>0.3310288417704309</v>
      </c>
      <c r="CA15" s="103">
        <f t="shared" si="10"/>
        <v>0.6689711582295691</v>
      </c>
      <c r="CB15" s="22">
        <f t="shared" si="11"/>
        <v>865.151395149834</v>
      </c>
      <c r="CC15" s="5">
        <f t="shared" si="12"/>
        <v>18900</v>
      </c>
      <c r="CD15" s="67">
        <f>IF($AZ$32="d",'Profils de colonie'!K41,IF($AZ$32="n",'Profils de colonie'!K69,IF($AZ$32="p",'Profils de colonie'!K97,IF($AZ$32="a",'Profils de colonie'!K125,IF($AZ$32="b",'Profils de colonie'!K153,IF($AZ$32="c",'Profils de colonie'!K181,IF($AZ$32="r",'Profils de colonie'!K209,IF($AZ$32="s",'Profils de colonie'!K209,IF($AZ$32="f",'Profils de colonie'!K265,"erreur")))))))))</f>
        <v>0.05</v>
      </c>
      <c r="CE15" s="87">
        <f t="shared" si="42"/>
        <v>3.2000000000000001E-2</v>
      </c>
      <c r="CF15" s="63">
        <f t="shared" si="43"/>
        <v>0.16</v>
      </c>
      <c r="CG15" s="84">
        <f t="shared" si="44"/>
        <v>0.10703538531673105</v>
      </c>
      <c r="CH15" s="60">
        <f t="shared" si="13"/>
        <v>138.42422322397346</v>
      </c>
      <c r="CI15" s="61">
        <f t="shared" si="45"/>
        <v>0.22887603046291904</v>
      </c>
      <c r="CJ15" s="266">
        <f t="shared" si="14"/>
        <v>0.20457286387304574</v>
      </c>
      <c r="CK15" s="267">
        <f t="shared" si="46"/>
        <v>1.1187995618272979</v>
      </c>
      <c r="CL15" s="61">
        <f t="shared" si="15"/>
        <v>20.93799306947399</v>
      </c>
      <c r="CM15" s="265">
        <v>1</v>
      </c>
      <c r="CN15" s="71">
        <f t="shared" si="16"/>
        <v>4.2749999999999995</v>
      </c>
      <c r="CO15" s="65">
        <f t="shared" si="47"/>
        <v>9.8493837450082944E-2</v>
      </c>
      <c r="CP15" s="85">
        <f t="shared" si="48"/>
        <v>0.56193577291283803</v>
      </c>
      <c r="CQ15" s="59">
        <f t="shared" si="49"/>
        <v>18295.2</v>
      </c>
      <c r="CR15" s="59">
        <f t="shared" si="17"/>
        <v>726.7271719258606</v>
      </c>
      <c r="CS15" s="62">
        <f t="shared" si="18"/>
        <v>3.9722286278688429E-2</v>
      </c>
      <c r="CT15" s="263">
        <f t="shared" si="19"/>
        <v>3.8943699383302888E-2</v>
      </c>
      <c r="CU15" s="265">
        <f t="shared" si="50"/>
        <v>1.0199664372224919</v>
      </c>
      <c r="CV15" s="64">
        <f t="shared" si="20"/>
        <v>0.84</v>
      </c>
      <c r="CW15" s="62">
        <f t="shared" si="21"/>
        <v>17.93799306947399</v>
      </c>
      <c r="CX15" s="264">
        <v>1</v>
      </c>
      <c r="CY15" s="70">
        <f t="shared" si="51"/>
        <v>2.2586249999999999</v>
      </c>
      <c r="CZ15" s="66">
        <f t="shared" si="22"/>
        <v>6.518049768398862E-2</v>
      </c>
      <c r="DA15" s="91">
        <f t="shared" si="23"/>
        <v>4.7169579187688701E-2</v>
      </c>
      <c r="DB15" s="23">
        <f t="shared" si="24"/>
        <v>-5.0125418235442863E-3</v>
      </c>
      <c r="DC15" s="28">
        <f t="shared" si="25"/>
        <v>4.2157037364144417E-2</v>
      </c>
      <c r="DD15" s="28"/>
      <c r="DE15" s="270">
        <f t="shared" si="69"/>
        <v>1293.2566441869565</v>
      </c>
      <c r="DF15" s="178">
        <f t="shared" si="26"/>
        <v>905.27965093086948</v>
      </c>
      <c r="DG15" s="177">
        <f t="shared" si="52"/>
        <v>905.27965093086948</v>
      </c>
      <c r="DH15" s="116">
        <f t="shared" si="53"/>
        <v>949.67325299515699</v>
      </c>
      <c r="DI15" s="13">
        <f t="shared" si="54"/>
        <v>2242.9298971821136</v>
      </c>
      <c r="DJ15" s="199">
        <f t="shared" si="55"/>
        <v>164.62918585414309</v>
      </c>
      <c r="DK15" s="107">
        <f t="shared" si="27"/>
        <v>2078.3007113279705</v>
      </c>
      <c r="DL15" s="182">
        <f>'Immigration de varroas'!E22</f>
        <v>0</v>
      </c>
      <c r="DM15" s="109">
        <f t="shared" si="56"/>
        <v>-81.236139546933245</v>
      </c>
      <c r="DN15" s="82">
        <f t="shared" si="64"/>
        <v>-81.236139546933245</v>
      </c>
      <c r="DO15" s="198">
        <f t="shared" si="28"/>
        <v>1997.0645717810373</v>
      </c>
      <c r="DP15" s="278">
        <f>ET$33</f>
        <v>0</v>
      </c>
      <c r="DQ15" s="107">
        <f t="shared" si="57"/>
        <v>0</v>
      </c>
      <c r="DR15" s="79">
        <f t="shared" si="29"/>
        <v>1997.0645717810373</v>
      </c>
      <c r="DS15" s="23">
        <f t="shared" si="30"/>
        <v>2.8570837533748832E-2</v>
      </c>
      <c r="DT15" s="158">
        <f t="shared" si="31"/>
        <v>40695</v>
      </c>
      <c r="DU15" s="74">
        <f t="shared" si="32"/>
        <v>428.10524903712246</v>
      </c>
      <c r="DV15" s="23">
        <f t="shared" si="33"/>
        <v>1.1265927606240065E-2</v>
      </c>
      <c r="DW15" s="114">
        <f t="shared" si="34"/>
        <v>3.5487671959656204</v>
      </c>
      <c r="DX15" s="179" t="str">
        <f t="shared" si="66"/>
        <v/>
      </c>
      <c r="DY15" s="179" t="str">
        <f t="shared" si="67"/>
        <v/>
      </c>
      <c r="DZ15" s="179"/>
      <c r="EA15">
        <f t="shared" si="68"/>
        <v>0</v>
      </c>
      <c r="EB15" s="13">
        <f t="shared" si="58"/>
        <v>20017.96875</v>
      </c>
      <c r="EC15" s="14">
        <f t="shared" si="59"/>
        <v>8000</v>
      </c>
      <c r="ED15" s="13">
        <f t="shared" si="60"/>
        <v>12017.96875</v>
      </c>
      <c r="EE15" s="13">
        <f t="shared" si="65"/>
        <v>790.22260273972597</v>
      </c>
      <c r="EF15" s="17">
        <f t="shared" si="61"/>
        <v>0.6</v>
      </c>
      <c r="EG15" s="197">
        <f t="shared" si="62"/>
        <v>81.236139546933245</v>
      </c>
      <c r="EI15" s="13">
        <f t="shared" si="63"/>
        <v>949.67325299515699</v>
      </c>
      <c r="EJ15" s="131">
        <f>ET$58</f>
        <v>141.90288749115524</v>
      </c>
      <c r="EK15" s="31">
        <f>ES$60</f>
        <v>6.3372110506880394E-2</v>
      </c>
      <c r="EO15" s="2">
        <v>40695</v>
      </c>
      <c r="EP15" s="193">
        <v>43070</v>
      </c>
      <c r="ER15" s="17">
        <v>0.56999999999999995</v>
      </c>
    </row>
    <row r="16" spans="1:168" ht="16" customHeight="1">
      <c r="B16" s="284"/>
      <c r="AE16" s="274"/>
      <c r="AF16" s="282"/>
      <c r="AZ16" s="288">
        <f t="shared" si="35"/>
        <v>40709</v>
      </c>
      <c r="BA16" s="48">
        <f t="shared" si="0"/>
        <v>1997.0645717810373</v>
      </c>
      <c r="BB16" s="222">
        <f t="shared" si="36"/>
        <v>2.5531177246796134E-2</v>
      </c>
      <c r="BC16" s="173">
        <f t="shared" si="1"/>
        <v>0</v>
      </c>
      <c r="BD16" s="99">
        <f t="shared" si="37"/>
        <v>5.2870810275524853</v>
      </c>
      <c r="BE16" s="4">
        <f t="shared" si="2"/>
        <v>6.03329996623031E-2</v>
      </c>
      <c r="BF16" s="3">
        <f t="shared" si="3"/>
        <v>0.36979921223943024</v>
      </c>
      <c r="BG16" s="381" t="s">
        <v>105</v>
      </c>
      <c r="BH16" s="378" t="s">
        <v>106</v>
      </c>
      <c r="BI16" s="378"/>
      <c r="BJ16" s="378"/>
      <c r="BK16" s="378"/>
      <c r="BL16" s="378"/>
      <c r="BN16" s="392"/>
      <c r="BO16" s="158">
        <f t="shared" si="38"/>
        <v>40709</v>
      </c>
      <c r="BP16" s="373">
        <f>IF($AZ$32="d",'Profils de colonie'!I42,IF($AZ$32="n",'Profils de colonie'!I70,IF($AZ$32="p",'Profils de colonie'!I98,IF($AZ$32="a",'Profils de colonie'!I126,IF($AZ$32="b",'Profils de colonie'!I154,IF($AZ$32="c",'Profils de colonie'!I182,IF($AZ$32="r",'Profils de colonie'!I210,IF($AZ$32="s",'Profils de colonie'!I238,IF($AZ$32="f",'Profils de colonie'!I266,"erreur")))))))))</f>
        <v>22</v>
      </c>
      <c r="BQ16">
        <f t="shared" si="4"/>
        <v>44000</v>
      </c>
      <c r="BR16" s="68">
        <f>IF($AZ$32="d",'Profils de colonie'!G42,IF($AZ$32="n",'Profils de colonie'!G70,IF($AZ$32="p",'Profils de colonie'!G98,IF($AZ$32="a",'Profils de colonie'!G126,IF($AZ$32="b",'Profils de colonie'!G154,IF($AZ$32="c",'Profils de colonie'!G182,IF($AZ$32="r",'Profils de colonie'!G210,IF($AZ$32="s",'Profils de colonie'!G238,IF($AZ$32="f",'Profils de colonie'!G266,"erreur")))))))))</f>
        <v>6.5</v>
      </c>
      <c r="BS16" s="13">
        <f t="shared" si="5"/>
        <v>29250</v>
      </c>
      <c r="BT16" s="17">
        <f t="shared" si="6"/>
        <v>0.66477272727272729</v>
      </c>
      <c r="BU16">
        <f t="shared" si="39"/>
        <v>17550</v>
      </c>
      <c r="BV16" s="14">
        <f t="shared" si="40"/>
        <v>1058.8441440734193</v>
      </c>
      <c r="BW16" s="14">
        <f t="shared" si="7"/>
        <v>1462.5</v>
      </c>
      <c r="BX16" s="89">
        <f t="shared" si="41"/>
        <v>7.041550301201978</v>
      </c>
      <c r="BY16" s="21">
        <f t="shared" si="8"/>
        <v>19.04155030120198</v>
      </c>
      <c r="BZ16" s="26">
        <f t="shared" si="9"/>
        <v>0.36979921223943024</v>
      </c>
      <c r="CA16" s="103">
        <f t="shared" si="10"/>
        <v>0.63020078776056976</v>
      </c>
      <c r="CB16" s="22">
        <f t="shared" si="11"/>
        <v>1258.5516663451347</v>
      </c>
      <c r="CC16" s="5">
        <f t="shared" si="12"/>
        <v>17550</v>
      </c>
      <c r="CD16" s="67">
        <f>IF($AZ$32="d",'Profils de colonie'!K42,IF($AZ$32="n",'Profils de colonie'!K70,IF($AZ$32="p",'Profils de colonie'!K98,IF($AZ$32="a",'Profils de colonie'!K126,IF($AZ$32="b",'Profils de colonie'!K154,IF($AZ$32="c",'Profils de colonie'!K182,IF($AZ$32="r",'Profils de colonie'!K210,IF($AZ$32="s",'Profils de colonie'!K210,IF($AZ$32="f",'Profils de colonie'!K266,"erreur")))))))))</f>
        <v>0.05</v>
      </c>
      <c r="CE16" s="87">
        <f t="shared" si="42"/>
        <v>3.2000000000000001E-2</v>
      </c>
      <c r="CF16" s="63">
        <f t="shared" si="43"/>
        <v>0.16</v>
      </c>
      <c r="CG16" s="84">
        <f t="shared" si="44"/>
        <v>0.10083212604169116</v>
      </c>
      <c r="CH16" s="60">
        <f t="shared" si="13"/>
        <v>201.36826661522156</v>
      </c>
      <c r="CI16" s="61">
        <f t="shared" si="45"/>
        <v>0.35856172830345717</v>
      </c>
      <c r="CJ16" s="266">
        <f t="shared" si="14"/>
        <v>0.30131950385423878</v>
      </c>
      <c r="CK16" s="267">
        <f t="shared" si="46"/>
        <v>1.1899718528572545</v>
      </c>
      <c r="CL16" s="61">
        <f t="shared" si="15"/>
        <v>22.04155030120198</v>
      </c>
      <c r="CM16" s="265">
        <v>1</v>
      </c>
      <c r="CN16" s="71">
        <f t="shared" si="16"/>
        <v>4.2749999999999995</v>
      </c>
      <c r="CO16" s="65">
        <f t="shared" si="47"/>
        <v>9.8493837450082944E-2</v>
      </c>
      <c r="CP16" s="85">
        <f t="shared" si="48"/>
        <v>0.52936866171887864</v>
      </c>
      <c r="CQ16" s="59">
        <f t="shared" si="49"/>
        <v>16988.399999999998</v>
      </c>
      <c r="CR16" s="59">
        <f t="shared" si="17"/>
        <v>1057.1833997299132</v>
      </c>
      <c r="CS16" s="62">
        <f t="shared" si="18"/>
        <v>6.2229721441095884E-2</v>
      </c>
      <c r="CT16" s="263">
        <f t="shared" si="19"/>
        <v>6.03329996623031E-2</v>
      </c>
      <c r="CU16" s="265">
        <f t="shared" si="50"/>
        <v>1.0314204559519238</v>
      </c>
      <c r="CV16" s="64">
        <f t="shared" si="20"/>
        <v>0.84</v>
      </c>
      <c r="CW16" s="62">
        <f t="shared" si="21"/>
        <v>19.04155030120198</v>
      </c>
      <c r="CX16" s="264">
        <v>1</v>
      </c>
      <c r="CY16" s="70">
        <f t="shared" si="51"/>
        <v>2.2586249999999999</v>
      </c>
      <c r="CZ16" s="66">
        <f t="shared" si="22"/>
        <v>6.518049768398862E-2</v>
      </c>
      <c r="DA16" s="91">
        <f t="shared" si="23"/>
        <v>4.4435855861240131E-2</v>
      </c>
      <c r="DB16" s="23">
        <f t="shared" si="24"/>
        <v>-5.0125418235442863E-3</v>
      </c>
      <c r="DC16" s="28">
        <f t="shared" si="25"/>
        <v>3.9423314037695847E-2</v>
      </c>
      <c r="DD16" s="28"/>
      <c r="DE16" s="270">
        <f t="shared" si="69"/>
        <v>1997.0645717810373</v>
      </c>
      <c r="DF16" s="178">
        <f t="shared" si="26"/>
        <v>1397.945200246726</v>
      </c>
      <c r="DG16" s="177">
        <f t="shared" si="52"/>
        <v>1397.945200246726</v>
      </c>
      <c r="DH16" s="116">
        <f>DG16*EXP(DA16*$BP$37)-DG16</f>
        <v>1349.849745856578</v>
      </c>
      <c r="DI16" s="13">
        <f t="shared" si="54"/>
        <v>3346.9143176376156</v>
      </c>
      <c r="DJ16" s="199">
        <f t="shared" si="55"/>
        <v>245.66072257920268</v>
      </c>
      <c r="DK16" s="107">
        <f t="shared" si="27"/>
        <v>3101.2535950584129</v>
      </c>
      <c r="DL16" s="182">
        <f>'Immigration de varroas'!E23</f>
        <v>0</v>
      </c>
      <c r="DM16" s="109">
        <f t="shared" si="56"/>
        <v>-156.67698152184553</v>
      </c>
      <c r="DN16" s="82">
        <f t="shared" si="64"/>
        <v>-156.67698152184553</v>
      </c>
      <c r="DO16" s="198">
        <f t="shared" si="28"/>
        <v>2944.5766135365675</v>
      </c>
      <c r="DP16" s="278">
        <f>EU$33</f>
        <v>0</v>
      </c>
      <c r="DQ16" s="107">
        <f t="shared" si="57"/>
        <v>0</v>
      </c>
      <c r="DR16" s="79">
        <f t="shared" si="29"/>
        <v>2944.5766135365675</v>
      </c>
      <c r="DS16" s="23">
        <f t="shared" si="30"/>
        <v>2.5531177246796134E-2</v>
      </c>
      <c r="DT16" s="158">
        <f t="shared" si="31"/>
        <v>40709</v>
      </c>
      <c r="DU16" s="74">
        <f t="shared" si="32"/>
        <v>738.51290543590267</v>
      </c>
      <c r="DV16" s="23">
        <f t="shared" si="33"/>
        <v>1.6784384214452334E-2</v>
      </c>
      <c r="DW16" s="114">
        <f t="shared" si="34"/>
        <v>5.2870810275524853</v>
      </c>
      <c r="DX16" s="179" t="str">
        <f t="shared" si="66"/>
        <v/>
      </c>
      <c r="DY16" s="179" t="str">
        <f t="shared" si="67"/>
        <v/>
      </c>
      <c r="DZ16" s="179"/>
      <c r="EA16">
        <f t="shared" si="68"/>
        <v>0</v>
      </c>
      <c r="EB16" s="13">
        <f t="shared" si="58"/>
        <v>21557.8125</v>
      </c>
      <c r="EC16" s="14">
        <f t="shared" si="59"/>
        <v>6000</v>
      </c>
      <c r="ED16" s="13">
        <f t="shared" si="60"/>
        <v>15557.8125</v>
      </c>
      <c r="EE16" s="13">
        <f t="shared" si="65"/>
        <v>1022.9794520547945</v>
      </c>
      <c r="EF16" s="17">
        <f t="shared" si="61"/>
        <v>0.6</v>
      </c>
      <c r="EG16" s="197">
        <f t="shared" si="62"/>
        <v>156.67698152184553</v>
      </c>
      <c r="EI16" s="13">
        <f t="shared" si="63"/>
        <v>1349.849745856578</v>
      </c>
      <c r="EJ16" s="131">
        <f>EU$58</f>
        <v>225.6886972293081</v>
      </c>
      <c r="EK16" s="31">
        <f>ET$60</f>
        <v>6.0112460098454092E-2</v>
      </c>
      <c r="EO16" s="2">
        <v>40709</v>
      </c>
      <c r="EP16" s="193">
        <v>43084</v>
      </c>
      <c r="ER16" s="17">
        <v>0.55000000000000004</v>
      </c>
      <c r="ES16">
        <v>5.9849999999999994</v>
      </c>
    </row>
    <row r="17" spans="2:163" ht="16.44">
      <c r="B17" s="284"/>
      <c r="AE17" s="274"/>
      <c r="AF17" s="282"/>
      <c r="AZ17" s="288">
        <f t="shared" si="35"/>
        <v>40725</v>
      </c>
      <c r="BA17" s="48">
        <f t="shared" si="0"/>
        <v>2944.5766135365675</v>
      </c>
      <c r="BB17" s="222">
        <f t="shared" si="36"/>
        <v>2.3878924859546184E-2</v>
      </c>
      <c r="BC17" s="173">
        <f t="shared" si="1"/>
        <v>0</v>
      </c>
      <c r="BD17" s="99">
        <f t="shared" si="37"/>
        <v>7.6576623899908993</v>
      </c>
      <c r="BE17" s="4">
        <f t="shared" si="2"/>
        <v>9.0830677963159911E-2</v>
      </c>
      <c r="BF17" s="3">
        <f t="shared" si="3"/>
        <v>0.39628172098980846</v>
      </c>
      <c r="BG17" s="380"/>
      <c r="BH17" s="378"/>
      <c r="BI17" s="378"/>
      <c r="BJ17" s="378"/>
      <c r="BK17" s="378"/>
      <c r="BL17" s="378"/>
      <c r="BN17" s="392"/>
      <c r="BO17" s="158">
        <f t="shared" si="38"/>
        <v>40725</v>
      </c>
      <c r="BP17" s="373">
        <f>IF($AZ$32="d",'Profils de colonie'!I43,IF($AZ$32="n",'Profils de colonie'!I71,IF($AZ$32="p",'Profils de colonie'!I99,IF($AZ$32="a",'Profils de colonie'!I127,IF($AZ$32="b",'Profils de colonie'!I155,IF($AZ$32="c",'Profils de colonie'!I183,IF($AZ$32="r",'Profils de colonie'!I211,IF($AZ$32="s",'Profils de colonie'!I239,IF($AZ$32="f",'Profils de colonie'!I267,"erreur")))))))))</f>
        <v>24</v>
      </c>
      <c r="BQ17">
        <f t="shared" si="4"/>
        <v>48000</v>
      </c>
      <c r="BR17" s="68">
        <f>IF($AZ$32="d",'Profils de colonie'!G43,IF($AZ$32="n",'Profils de colonie'!G71,IF($AZ$32="p",'Profils de colonie'!G99,IF($AZ$32="a",'Profils de colonie'!G127,IF($AZ$32="b",'Profils de colonie'!G155,IF($AZ$32="c",'Profils de colonie'!G183,IF($AZ$32="r",'Profils de colonie'!G211,IF($AZ$32="s",'Profils de colonie'!G239,IF($AZ$32="f",'Profils de colonie'!G267,"erreur")))))))))</f>
        <v>6</v>
      </c>
      <c r="BS17" s="13">
        <f t="shared" si="5"/>
        <v>27000</v>
      </c>
      <c r="BT17" s="17">
        <f t="shared" si="6"/>
        <v>0.5625</v>
      </c>
      <c r="BU17">
        <f t="shared" si="39"/>
        <v>16200</v>
      </c>
      <c r="BV17" s="14">
        <f t="shared" si="40"/>
        <v>1471.4569830031905</v>
      </c>
      <c r="BW17" s="14">
        <f t="shared" si="7"/>
        <v>1350</v>
      </c>
      <c r="BX17" s="89">
        <f t="shared" si="41"/>
        <v>7.8768207245178088</v>
      </c>
      <c r="BY17" s="21">
        <f t="shared" si="8"/>
        <v>19.87682072451781</v>
      </c>
      <c r="BZ17" s="26">
        <f t="shared" si="9"/>
        <v>0.39628172098980846</v>
      </c>
      <c r="CA17" s="103">
        <f t="shared" si="10"/>
        <v>0.60371827901019159</v>
      </c>
      <c r="CB17" s="22">
        <f t="shared" si="11"/>
        <v>1777.6947255379546</v>
      </c>
      <c r="CC17" s="5">
        <f t="shared" si="12"/>
        <v>16200</v>
      </c>
      <c r="CD17" s="67">
        <f>IF($AZ$32="d",'Profils de colonie'!K43,IF($AZ$32="n",'Profils de colonie'!K71,IF($AZ$32="p",'Profils de colonie'!K99,IF($AZ$32="a",'Profils de colonie'!K127,IF($AZ$32="b",'Profils de colonie'!K155,IF($AZ$32="c",'Profils de colonie'!K183,IF($AZ$32="r",'Profils de colonie'!K211,IF($AZ$32="s",'Profils de colonie'!K211,IF($AZ$32="f",'Profils de colonie'!K267,"erreur")))))))))</f>
        <v>0.05</v>
      </c>
      <c r="CE17" s="87">
        <f t="shared" si="42"/>
        <v>3.2000000000000001E-2</v>
      </c>
      <c r="CF17" s="63">
        <f t="shared" si="43"/>
        <v>0.16</v>
      </c>
      <c r="CG17" s="84">
        <f t="shared" si="44"/>
        <v>9.6594924641630664E-2</v>
      </c>
      <c r="CH17" s="60">
        <f t="shared" si="13"/>
        <v>284.43115608607275</v>
      </c>
      <c r="CI17" s="61">
        <f t="shared" si="45"/>
        <v>0.54867121158578847</v>
      </c>
      <c r="CJ17" s="266">
        <f t="shared" si="14"/>
        <v>0.42228303581623428</v>
      </c>
      <c r="CK17" s="267">
        <f t="shared" si="46"/>
        <v>1.2992973078477033</v>
      </c>
      <c r="CL17" s="61">
        <f t="shared" si="15"/>
        <v>22.87682072451781</v>
      </c>
      <c r="CM17" s="265">
        <v>1</v>
      </c>
      <c r="CN17" s="71">
        <f t="shared" si="16"/>
        <v>4.2749999999999995</v>
      </c>
      <c r="CO17" s="65">
        <f t="shared" si="47"/>
        <v>9.8493837450082944E-2</v>
      </c>
      <c r="CP17" s="85">
        <f t="shared" si="48"/>
        <v>0.50712335436856093</v>
      </c>
      <c r="CQ17" s="59">
        <f t="shared" si="49"/>
        <v>15681.6</v>
      </c>
      <c r="CR17" s="59">
        <f t="shared" si="17"/>
        <v>1493.2635694518817</v>
      </c>
      <c r="CS17" s="62">
        <f t="shared" si="18"/>
        <v>9.522392928348393E-2</v>
      </c>
      <c r="CT17" s="263">
        <f t="shared" si="19"/>
        <v>9.0830677963159911E-2</v>
      </c>
      <c r="CU17" s="265">
        <f t="shared" si="50"/>
        <v>1.0483559416584316</v>
      </c>
      <c r="CV17" s="64">
        <f t="shared" si="20"/>
        <v>0.84</v>
      </c>
      <c r="CW17" s="62">
        <f t="shared" si="21"/>
        <v>19.87682072451781</v>
      </c>
      <c r="CX17" s="264">
        <v>1</v>
      </c>
      <c r="CY17" s="70">
        <f t="shared" si="51"/>
        <v>2.2586249999999999</v>
      </c>
      <c r="CZ17" s="66">
        <f t="shared" si="22"/>
        <v>6.518049768398862E-2</v>
      </c>
      <c r="DA17" s="91">
        <f t="shared" si="23"/>
        <v>4.256855743107231E-2</v>
      </c>
      <c r="DB17" s="23">
        <f t="shared" si="24"/>
        <v>-5.0125418235442863E-3</v>
      </c>
      <c r="DC17" s="28">
        <f t="shared" si="25"/>
        <v>3.7556015607528026E-2</v>
      </c>
      <c r="DD17" s="28"/>
      <c r="DE17" s="270">
        <f t="shared" si="69"/>
        <v>2944.5766135365675</v>
      </c>
      <c r="DF17" s="178">
        <f t="shared" si="26"/>
        <v>2061.2036294755972</v>
      </c>
      <c r="DG17" s="177">
        <f t="shared" si="52"/>
        <v>2061.2036294755972</v>
      </c>
      <c r="DH17" s="116">
        <f>DG17*EXP(DA17*$BP$37)-DG17</f>
        <v>1876.8512234657737</v>
      </c>
      <c r="DI17" s="13">
        <f t="shared" si="54"/>
        <v>4821.4278370023412</v>
      </c>
      <c r="DJ17" s="199">
        <f t="shared" si="55"/>
        <v>353.88878647407364</v>
      </c>
      <c r="DK17" s="107">
        <f t="shared" si="27"/>
        <v>4467.5390505282676</v>
      </c>
      <c r="DL17" s="182">
        <f>'Immigration de varroas'!E24</f>
        <v>0</v>
      </c>
      <c r="DM17" s="109">
        <f t="shared" si="56"/>
        <v>-233.63847021128484</v>
      </c>
      <c r="DN17" s="82">
        <f t="shared" si="64"/>
        <v>-233.63847021128484</v>
      </c>
      <c r="DO17" s="198">
        <f t="shared" si="28"/>
        <v>4233.900580316983</v>
      </c>
      <c r="DP17" s="278">
        <f>EV$33</f>
        <v>0</v>
      </c>
      <c r="DQ17" s="107">
        <f t="shared" si="57"/>
        <v>0</v>
      </c>
      <c r="DR17" s="79">
        <f t="shared" si="29"/>
        <v>4233.900580316983</v>
      </c>
      <c r="DS17" s="23">
        <f t="shared" si="30"/>
        <v>2.3878924859546184E-2</v>
      </c>
      <c r="DT17" s="158">
        <f t="shared" si="31"/>
        <v>40725</v>
      </c>
      <c r="DU17" s="74">
        <f t="shared" si="32"/>
        <v>1166.8818879986131</v>
      </c>
      <c r="DV17" s="23">
        <f t="shared" si="33"/>
        <v>2.4310039333304442E-2</v>
      </c>
      <c r="DW17" s="114">
        <f t="shared" si="34"/>
        <v>7.6576623899908993</v>
      </c>
      <c r="DX17" s="179" t="str">
        <f t="shared" si="66"/>
        <v/>
      </c>
      <c r="DY17" s="179" t="str">
        <f t="shared" si="67"/>
        <v/>
      </c>
      <c r="DZ17" s="179"/>
      <c r="EA17">
        <f t="shared" si="68"/>
        <v>0</v>
      </c>
      <c r="EB17" s="13">
        <f t="shared" si="58"/>
        <v>20017.96875</v>
      </c>
      <c r="EC17" s="14">
        <f t="shared" si="59"/>
        <v>4000</v>
      </c>
      <c r="ED17" s="13">
        <f t="shared" si="60"/>
        <v>16017.96875</v>
      </c>
      <c r="EE17" s="13">
        <f t="shared" si="65"/>
        <v>1053.236301369863</v>
      </c>
      <c r="EF17" s="17">
        <f t="shared" si="61"/>
        <v>0.6</v>
      </c>
      <c r="EG17" s="197">
        <f t="shared" si="62"/>
        <v>233.63847021128484</v>
      </c>
      <c r="EI17" s="13">
        <f t="shared" si="63"/>
        <v>1876.8512234657737</v>
      </c>
      <c r="EJ17" s="131">
        <f>EV$58</f>
        <v>385.65554725686093</v>
      </c>
      <c r="EK17" s="31">
        <f>EU$60</f>
        <v>6.3763039708735744E-2</v>
      </c>
      <c r="EO17" s="2">
        <v>40725</v>
      </c>
      <c r="EP17" s="193">
        <v>43101</v>
      </c>
      <c r="ER17" s="17">
        <v>0.55000000000000004</v>
      </c>
    </row>
    <row r="18" spans="2:163" ht="16" customHeight="1">
      <c r="B18" s="284"/>
      <c r="AE18" s="274"/>
      <c r="AF18" s="274"/>
      <c r="AZ18" s="288">
        <f t="shared" si="35"/>
        <v>40739</v>
      </c>
      <c r="BA18" s="48">
        <f t="shared" si="0"/>
        <v>4233.900580316983</v>
      </c>
      <c r="BB18" s="222">
        <f t="shared" si="36"/>
        <v>2.1680781905685283E-2</v>
      </c>
      <c r="BC18" s="173">
        <f t="shared" si="1"/>
        <v>0</v>
      </c>
      <c r="BD18" s="99">
        <f t="shared" si="37"/>
        <v>11.426113985490217</v>
      </c>
      <c r="BE18" s="4">
        <f t="shared" si="2"/>
        <v>0.14407322406630152</v>
      </c>
      <c r="BF18" s="3">
        <f t="shared" si="3"/>
        <v>0.42836832187730856</v>
      </c>
      <c r="BG18" s="379">
        <v>0.25</v>
      </c>
      <c r="BH18" s="378" t="s">
        <v>107</v>
      </c>
      <c r="BI18" s="378"/>
      <c r="BJ18" s="378"/>
      <c r="BK18" s="378"/>
      <c r="BL18" s="378"/>
      <c r="BN18" s="392"/>
      <c r="BO18" s="158">
        <f t="shared" si="38"/>
        <v>40739</v>
      </c>
      <c r="BP18" s="373">
        <f>IF($AZ$32="d",'Profils de colonie'!I44,IF($AZ$32="n",'Profils de colonie'!I72,IF($AZ$32="p",'Profils de colonie'!I100,IF($AZ$32="a",'Profils de colonie'!I128,IF($AZ$32="b",'Profils de colonie'!I156,IF($AZ$32="c",'Profils de colonie'!I184,IF($AZ$32="r",'Profils de colonie'!I212,IF($AZ$32="s",'Profils de colonie'!I240,IF($AZ$32="f",'Profils de colonie'!I268,"erreur")))))))))</f>
        <v>25</v>
      </c>
      <c r="BQ18">
        <f t="shared" si="4"/>
        <v>50000</v>
      </c>
      <c r="BR18" s="68">
        <f>IF($AZ$32="d",'Profils de colonie'!G44,IF($AZ$32="n",'Profils de colonie'!G72,IF($AZ$32="p",'Profils de colonie'!G100,IF($AZ$32="a",'Profils de colonie'!G128,IF($AZ$32="b",'Profils de colonie'!G156,IF($AZ$32="c",'Profils de colonie'!G184,IF($AZ$32="r",'Profils de colonie'!G212,IF($AZ$32="s",'Profils de colonie'!G240,IF($AZ$32="f",'Profils de colonie'!G268,"erreur")))))))))</f>
        <v>5</v>
      </c>
      <c r="BS18" s="13">
        <f t="shared" si="5"/>
        <v>22500</v>
      </c>
      <c r="BT18" s="17">
        <f t="shared" si="6"/>
        <v>0.45</v>
      </c>
      <c r="BU18">
        <f t="shared" si="39"/>
        <v>13500</v>
      </c>
      <c r="BV18" s="14">
        <f t="shared" si="40"/>
        <v>1944.9885248950704</v>
      </c>
      <c r="BW18" s="14">
        <f t="shared" si="7"/>
        <v>1125</v>
      </c>
      <c r="BX18" s="89">
        <f t="shared" si="41"/>
        <v>8.9925384810888573</v>
      </c>
      <c r="BY18" s="21">
        <f t="shared" si="8"/>
        <v>20.992538481088857</v>
      </c>
      <c r="BZ18" s="26">
        <f t="shared" si="9"/>
        <v>0.42836832187730856</v>
      </c>
      <c r="CA18" s="103">
        <f t="shared" si="10"/>
        <v>0.57163167812269144</v>
      </c>
      <c r="CB18" s="22">
        <f t="shared" si="11"/>
        <v>2420.2316937312339</v>
      </c>
      <c r="CC18" s="5">
        <f t="shared" si="12"/>
        <v>13500</v>
      </c>
      <c r="CD18" s="67">
        <f>IF($AZ$32="d",'Profils de colonie'!K44,IF($AZ$32="n",'Profils de colonie'!K72,IF($AZ$32="p",'Profils de colonie'!K100,IF($AZ$32="a",'Profils de colonie'!K128,IF($AZ$32="b",'Profils de colonie'!K156,IF($AZ$32="c",'Profils de colonie'!K184,IF($AZ$32="r",'Profils de colonie'!K212,IF($AZ$32="s",'Profils de colonie'!K212,IF($AZ$32="f",'Profils de colonie'!K268,"erreur")))))))))</f>
        <v>0.05</v>
      </c>
      <c r="CE18" s="87">
        <f t="shared" si="42"/>
        <v>3.2000000000000001E-2</v>
      </c>
      <c r="CF18" s="63">
        <f t="shared" si="43"/>
        <v>0.16</v>
      </c>
      <c r="CG18" s="84">
        <f t="shared" si="44"/>
        <v>9.1461068499630635E-2</v>
      </c>
      <c r="CH18" s="60">
        <f t="shared" si="13"/>
        <v>387.23707099699743</v>
      </c>
      <c r="CI18" s="61">
        <f t="shared" si="45"/>
        <v>0.89638210878934588</v>
      </c>
      <c r="CJ18" s="266">
        <f t="shared" si="14"/>
        <v>0.5919567514261963</v>
      </c>
      <c r="CK18" s="267">
        <f t="shared" si="46"/>
        <v>1.5142695925499627</v>
      </c>
      <c r="CL18" s="61">
        <f t="shared" si="15"/>
        <v>23.992538481088857</v>
      </c>
      <c r="CM18" s="265">
        <v>1</v>
      </c>
      <c r="CN18" s="71">
        <f t="shared" si="16"/>
        <v>4.2749999999999995</v>
      </c>
      <c r="CO18" s="65">
        <f t="shared" si="47"/>
        <v>9.8493837450082944E-2</v>
      </c>
      <c r="CP18" s="85">
        <f t="shared" si="48"/>
        <v>0.4801706096230608</v>
      </c>
      <c r="CQ18" s="59">
        <f t="shared" si="49"/>
        <v>13068</v>
      </c>
      <c r="CR18" s="59">
        <f t="shared" si="17"/>
        <v>2032.9946227342366</v>
      </c>
      <c r="CS18" s="62">
        <f t="shared" si="18"/>
        <v>0.15557044863286168</v>
      </c>
      <c r="CT18" s="263">
        <f t="shared" si="19"/>
        <v>0.14407322406630152</v>
      </c>
      <c r="CU18" s="265">
        <f t="shared" si="50"/>
        <v>1.0797937635344801</v>
      </c>
      <c r="CV18" s="64">
        <f t="shared" si="20"/>
        <v>0.84</v>
      </c>
      <c r="CW18" s="62">
        <f t="shared" si="21"/>
        <v>20.992538481088857</v>
      </c>
      <c r="CX18" s="264">
        <v>1</v>
      </c>
      <c r="CY18" s="70">
        <f t="shared" si="51"/>
        <v>2.2586249999999999</v>
      </c>
      <c r="CZ18" s="66">
        <f t="shared" si="22"/>
        <v>6.518049768398862E-2</v>
      </c>
      <c r="DA18" s="91">
        <f t="shared" si="23"/>
        <v>4.0306110922268837E-2</v>
      </c>
      <c r="DB18" s="23">
        <f t="shared" si="24"/>
        <v>-5.0125418235442863E-3</v>
      </c>
      <c r="DC18" s="28">
        <f t="shared" si="25"/>
        <v>3.5293569098724553E-2</v>
      </c>
      <c r="DD18" s="28"/>
      <c r="DE18" s="270">
        <f t="shared" si="69"/>
        <v>4233.900580316983</v>
      </c>
      <c r="DF18" s="178">
        <f t="shared" si="26"/>
        <v>2963.7304062218877</v>
      </c>
      <c r="DG18" s="177">
        <f t="shared" si="52"/>
        <v>2963.7304062218877</v>
      </c>
      <c r="DH18" s="116">
        <f t="shared" ref="DH18:DH29" si="70">DG18*EXP(DA18*$BP$37)-DG18</f>
        <v>2507.1388517134105</v>
      </c>
      <c r="DI18" s="13">
        <f t="shared" si="54"/>
        <v>6741.0394320303931</v>
      </c>
      <c r="DJ18" s="199">
        <f t="shared" si="55"/>
        <v>494.78667830862287</v>
      </c>
      <c r="DK18" s="107">
        <f t="shared" si="27"/>
        <v>6246.2527537217702</v>
      </c>
      <c r="DL18" s="182">
        <f>'Immigration de varroas'!E25</f>
        <v>0</v>
      </c>
      <c r="DM18" s="109">
        <f t="shared" si="56"/>
        <v>-358.63035146124952</v>
      </c>
      <c r="DN18" s="82">
        <f t="shared" si="64"/>
        <v>-358.63035146124952</v>
      </c>
      <c r="DO18" s="198">
        <f t="shared" si="28"/>
        <v>5887.6224022605211</v>
      </c>
      <c r="DP18" s="278">
        <f>EW$33</f>
        <v>0</v>
      </c>
      <c r="DQ18" s="107">
        <f t="shared" si="57"/>
        <v>0</v>
      </c>
      <c r="DR18" s="79">
        <f t="shared" si="29"/>
        <v>5887.6224022605211</v>
      </c>
      <c r="DS18" s="23">
        <f t="shared" si="30"/>
        <v>2.1680781905685283E-2</v>
      </c>
      <c r="DT18" s="158">
        <f t="shared" si="31"/>
        <v>40739</v>
      </c>
      <c r="DU18" s="74">
        <f t="shared" si="32"/>
        <v>1813.6688865857489</v>
      </c>
      <c r="DV18" s="23">
        <f t="shared" si="33"/>
        <v>3.6273377731714976E-2</v>
      </c>
      <c r="DW18" s="114">
        <f t="shared" si="34"/>
        <v>11.426113985490217</v>
      </c>
      <c r="DX18" s="179" t="str">
        <f t="shared" si="66"/>
        <v/>
      </c>
      <c r="DY18" s="179" t="str">
        <f t="shared" si="67"/>
        <v/>
      </c>
      <c r="DZ18" s="179"/>
      <c r="EA18">
        <f t="shared" si="68"/>
        <v>0</v>
      </c>
      <c r="EB18" s="13">
        <f t="shared" si="58"/>
        <v>18478.125</v>
      </c>
      <c r="EC18" s="14">
        <f t="shared" si="59"/>
        <v>2000</v>
      </c>
      <c r="ED18" s="13">
        <f t="shared" si="60"/>
        <v>16478.125</v>
      </c>
      <c r="EE18" s="13">
        <f t="shared" si="65"/>
        <v>1083.4931506849314</v>
      </c>
      <c r="EF18" s="17">
        <f t="shared" si="61"/>
        <v>0.6</v>
      </c>
      <c r="EG18" s="197">
        <f t="shared" si="62"/>
        <v>358.63035146124952</v>
      </c>
      <c r="EI18" s="13">
        <f t="shared" si="63"/>
        <v>2507.1388517134105</v>
      </c>
      <c r="EJ18" s="131">
        <f>EW$58</f>
        <v>648.61597378428939</v>
      </c>
      <c r="EK18" s="31">
        <f>EV$60</f>
        <v>7.4739836415783661E-2</v>
      </c>
      <c r="EO18" s="2">
        <v>40739</v>
      </c>
      <c r="EP18" s="193">
        <v>43115</v>
      </c>
      <c r="ER18" s="17">
        <v>0.56000000000000005</v>
      </c>
      <c r="ES18">
        <v>11.654999999999999</v>
      </c>
    </row>
    <row r="19" spans="2:163" ht="16" customHeight="1">
      <c r="B19" s="284"/>
      <c r="C19" s="336"/>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E19" s="274"/>
      <c r="AF19" s="274"/>
      <c r="AZ19" s="288">
        <f t="shared" si="35"/>
        <v>40756</v>
      </c>
      <c r="BA19" s="48">
        <f t="shared" si="0"/>
        <v>5887.6224022605211</v>
      </c>
      <c r="BB19" s="222">
        <f t="shared" si="36"/>
        <v>2.0973932904580404E-2</v>
      </c>
      <c r="BC19" s="173">
        <f t="shared" si="1"/>
        <v>0</v>
      </c>
      <c r="BD19" s="99">
        <f t="shared" si="37"/>
        <v>16.408104634069364</v>
      </c>
      <c r="BE19" s="4">
        <f t="shared" si="2"/>
        <v>0.20902395619931635</v>
      </c>
      <c r="BF19" s="3">
        <f t="shared" si="3"/>
        <v>0.44236210732993247</v>
      </c>
      <c r="BG19" s="380"/>
      <c r="BH19" s="378"/>
      <c r="BI19" s="378"/>
      <c r="BJ19" s="378"/>
      <c r="BK19" s="378"/>
      <c r="BL19" s="378"/>
      <c r="BN19" s="392"/>
      <c r="BO19" s="158">
        <f t="shared" si="38"/>
        <v>40756</v>
      </c>
      <c r="BP19" s="373">
        <f>IF($AZ$32="d",'Profils de colonie'!I45,IF($AZ$32="n",'Profils de colonie'!I73,IF($AZ$32="p",'Profils de colonie'!I101,IF($AZ$32="a",'Profils de colonie'!I129,IF($AZ$32="b",'Profils de colonie'!I157,IF($AZ$32="c",'Profils de colonie'!I185,IF($AZ$32="r",'Profils de colonie'!I213,IF($AZ$32="s",'Profils de colonie'!I241,IF($AZ$32="f",'Profils de colonie'!I269,"erreur")))))))))</f>
        <v>25</v>
      </c>
      <c r="BQ19">
        <f t="shared" si="4"/>
        <v>50000</v>
      </c>
      <c r="BR19" s="68">
        <f>IF($AZ$32="d",'Profils de colonie'!G45,IF($AZ$32="n",'Profils de colonie'!G73,IF($AZ$32="p",'Profils de colonie'!G101,IF($AZ$32="a",'Profils de colonie'!G129,IF($AZ$32="b",'Profils de colonie'!G157,IF($AZ$32="c",'Profils de colonie'!G185,IF($AZ$32="r",'Profils de colonie'!G213,IF($AZ$32="s",'Profils de colonie'!G241,IF($AZ$32="f",'Profils de colonie'!G269,"erreur")))))))))</f>
        <v>4.5</v>
      </c>
      <c r="BS19" s="13">
        <f t="shared" si="5"/>
        <v>20250</v>
      </c>
      <c r="BT19" s="17">
        <f t="shared" si="6"/>
        <v>0.40500000000000003</v>
      </c>
      <c r="BU19">
        <f t="shared" si="39"/>
        <v>12150</v>
      </c>
      <c r="BV19" s="14">
        <f t="shared" si="40"/>
        <v>2539.6410678216935</v>
      </c>
      <c r="BW19" s="14">
        <f t="shared" si="7"/>
        <v>1012.5</v>
      </c>
      <c r="BX19" s="89">
        <f t="shared" si="41"/>
        <v>9.5193410593779895</v>
      </c>
      <c r="BY19" s="21">
        <f t="shared" si="8"/>
        <v>21.519341059377989</v>
      </c>
      <c r="BZ19" s="26">
        <f t="shared" si="9"/>
        <v>0.44236210732993247</v>
      </c>
      <c r="CA19" s="103">
        <f t="shared" si="10"/>
        <v>0.55763789267006758</v>
      </c>
      <c r="CB19" s="22">
        <f t="shared" si="11"/>
        <v>3283.1613492336378</v>
      </c>
      <c r="CC19" s="5">
        <f t="shared" si="12"/>
        <v>12150</v>
      </c>
      <c r="CD19" s="67">
        <f>IF($AZ$32="d",'Profils de colonie'!K45,IF($AZ$32="n",'Profils de colonie'!K73,IF($AZ$32="p",'Profils de colonie'!K101,IF($AZ$32="a",'Profils de colonie'!K129,IF($AZ$32="b",'Profils de colonie'!K157,IF($AZ$32="c",'Profils de colonie'!K185,IF($AZ$32="r",'Profils de colonie'!K213,IF($AZ$32="s",'Profils de colonie'!K213,IF($AZ$32="f",'Profils de colonie'!K269,"erreur")))))))))</f>
        <v>0.05</v>
      </c>
      <c r="CE19" s="87">
        <f t="shared" si="42"/>
        <v>3.2000000000000001E-2</v>
      </c>
      <c r="CF19" s="63">
        <f t="shared" si="43"/>
        <v>0.16</v>
      </c>
      <c r="CG19" s="84">
        <f t="shared" si="44"/>
        <v>8.9222062827210818E-2</v>
      </c>
      <c r="CH19" s="60">
        <f t="shared" si="13"/>
        <v>525.30581587738209</v>
      </c>
      <c r="CI19" s="61">
        <f t="shared" si="45"/>
        <v>1.3510952054459415</v>
      </c>
      <c r="CJ19" s="266">
        <f t="shared" si="14"/>
        <v>0.74104350528001728</v>
      </c>
      <c r="CK19" s="267">
        <f t="shared" si="46"/>
        <v>1.8232333133199847</v>
      </c>
      <c r="CL19" s="61">
        <f t="shared" si="15"/>
        <v>24.519341059377989</v>
      </c>
      <c r="CM19" s="265">
        <v>1</v>
      </c>
      <c r="CN19" s="71">
        <f t="shared" si="16"/>
        <v>4.2749999999999995</v>
      </c>
      <c r="CO19" s="65">
        <f t="shared" si="47"/>
        <v>9.8493837450082944E-2</v>
      </c>
      <c r="CP19" s="85">
        <f t="shared" si="48"/>
        <v>0.46841582984285679</v>
      </c>
      <c r="CQ19" s="59">
        <f t="shared" si="49"/>
        <v>11761.199999999999</v>
      </c>
      <c r="CR19" s="59">
        <f t="shared" si="17"/>
        <v>2757.8555333562558</v>
      </c>
      <c r="CS19" s="62">
        <f t="shared" si="18"/>
        <v>0.23448759763937829</v>
      </c>
      <c r="CT19" s="263">
        <f t="shared" si="19"/>
        <v>0.20902395619931635</v>
      </c>
      <c r="CU19" s="265">
        <f t="shared" si="50"/>
        <v>1.121816274492037</v>
      </c>
      <c r="CV19" s="64">
        <f t="shared" si="20"/>
        <v>0.84</v>
      </c>
      <c r="CW19" s="62">
        <f t="shared" si="21"/>
        <v>21.519341059377989</v>
      </c>
      <c r="CX19" s="264">
        <v>1</v>
      </c>
      <c r="CY19" s="70">
        <f t="shared" si="51"/>
        <v>2.2586249999999999</v>
      </c>
      <c r="CZ19" s="66">
        <f t="shared" si="22"/>
        <v>6.518049768398862E-2</v>
      </c>
      <c r="DA19" s="91">
        <f t="shared" si="23"/>
        <v>3.931940026528033E-2</v>
      </c>
      <c r="DB19" s="23">
        <f t="shared" si="24"/>
        <v>-5.0125418235442863E-3</v>
      </c>
      <c r="DC19" s="28">
        <f t="shared" si="25"/>
        <v>3.4306858441736046E-2</v>
      </c>
      <c r="DD19" s="28"/>
      <c r="DE19" s="270">
        <f t="shared" si="69"/>
        <v>5887.6224022605211</v>
      </c>
      <c r="DF19" s="178">
        <f t="shared" si="26"/>
        <v>4121.3356815823645</v>
      </c>
      <c r="DG19" s="177">
        <f t="shared" si="52"/>
        <v>4121.3356815823645</v>
      </c>
      <c r="DH19" s="116">
        <f t="shared" si="70"/>
        <v>3373.0926180785964</v>
      </c>
      <c r="DI19" s="13">
        <f t="shared" si="54"/>
        <v>9260.7150203391175</v>
      </c>
      <c r="DJ19" s="199">
        <f t="shared" si="55"/>
        <v>679.72876733288103</v>
      </c>
      <c r="DK19" s="107">
        <f t="shared" si="27"/>
        <v>8580.9862530062364</v>
      </c>
      <c r="DL19" s="182">
        <f>'Immigration de varroas'!E26</f>
        <v>0</v>
      </c>
      <c r="DM19" s="109">
        <f t="shared" si="56"/>
        <v>-481.25556895462375</v>
      </c>
      <c r="DN19" s="82">
        <f t="shared" si="64"/>
        <v>-481.25556895462375</v>
      </c>
      <c r="DO19" s="198">
        <f t="shared" si="28"/>
        <v>8099.730684051613</v>
      </c>
      <c r="DP19" s="278">
        <f>EX$33</f>
        <v>0</v>
      </c>
      <c r="DQ19" s="107">
        <f t="shared" si="57"/>
        <v>0</v>
      </c>
      <c r="DR19" s="79">
        <f t="shared" si="29"/>
        <v>8099.730684051613</v>
      </c>
      <c r="DS19" s="23">
        <f t="shared" si="30"/>
        <v>2.0973932904580404E-2</v>
      </c>
      <c r="DT19" s="158">
        <f t="shared" si="31"/>
        <v>40756</v>
      </c>
      <c r="DU19" s="74">
        <f t="shared" si="32"/>
        <v>2604.4610530268833</v>
      </c>
      <c r="DV19" s="23">
        <f t="shared" si="33"/>
        <v>5.2089221060537663E-2</v>
      </c>
      <c r="DW19" s="114">
        <f t="shared" si="34"/>
        <v>16.408104634069364</v>
      </c>
      <c r="DX19" s="179" t="str">
        <f t="shared" si="66"/>
        <v/>
      </c>
      <c r="DY19" s="179" t="str">
        <f t="shared" si="67"/>
        <v/>
      </c>
      <c r="DZ19" s="179"/>
      <c r="EA19">
        <f t="shared" si="68"/>
        <v>0</v>
      </c>
      <c r="EB19" s="13">
        <f t="shared" si="58"/>
        <v>15398.4375</v>
      </c>
      <c r="EC19" s="14">
        <f t="shared" si="59"/>
        <v>0</v>
      </c>
      <c r="ED19" s="13">
        <f t="shared" si="60"/>
        <v>15398.4375</v>
      </c>
      <c r="EE19" s="13">
        <f t="shared" si="65"/>
        <v>1012.5</v>
      </c>
      <c r="EF19" s="17">
        <f t="shared" si="61"/>
        <v>0.6</v>
      </c>
      <c r="EG19" s="197">
        <f t="shared" si="62"/>
        <v>481.25556895462375</v>
      </c>
      <c r="EI19" s="13">
        <f t="shared" si="63"/>
        <v>3373.0926180785964</v>
      </c>
      <c r="EJ19" s="131">
        <f>EX$58</f>
        <v>1044.4714000738577</v>
      </c>
      <c r="EK19" s="31">
        <f>EW$60</f>
        <v>8.8932275666035898E-2</v>
      </c>
      <c r="EO19" s="2">
        <v>40756</v>
      </c>
      <c r="EP19" s="193">
        <v>43132</v>
      </c>
      <c r="ER19" s="17">
        <v>0.56000000000000005</v>
      </c>
    </row>
    <row r="20" spans="2:163" ht="16" customHeight="1">
      <c r="B20" s="284"/>
      <c r="C20" s="336"/>
      <c r="D20" s="336"/>
      <c r="E20" s="336"/>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E20" s="274"/>
      <c r="AF20" s="274"/>
      <c r="AZ20" s="288">
        <f t="shared" si="35"/>
        <v>40770</v>
      </c>
      <c r="BA20" s="48">
        <f t="shared" si="0"/>
        <v>8099.730684051613</v>
      </c>
      <c r="BB20" s="222">
        <f t="shared" si="36"/>
        <v>1.9228145326635037E-2</v>
      </c>
      <c r="BC20" s="173">
        <f t="shared" si="1"/>
        <v>0</v>
      </c>
      <c r="BD20" s="99">
        <f t="shared" si="37"/>
        <v>25.575436111381133</v>
      </c>
      <c r="BE20" s="4">
        <f t="shared" si="2"/>
        <v>0.30494400989745618</v>
      </c>
      <c r="BF20" s="3">
        <f t="shared" si="3"/>
        <v>0.44105687076243161</v>
      </c>
      <c r="BG20" s="381" t="s">
        <v>108</v>
      </c>
      <c r="BH20" s="378" t="s">
        <v>109</v>
      </c>
      <c r="BI20" s="378"/>
      <c r="BJ20" s="378"/>
      <c r="BK20" s="378"/>
      <c r="BL20" s="378"/>
      <c r="BN20" s="392"/>
      <c r="BO20" s="158">
        <f t="shared" si="38"/>
        <v>40770</v>
      </c>
      <c r="BP20" s="373">
        <f>IF($AZ$32="d",'Profils de colonie'!I46,IF($AZ$32="n",'Profils de colonie'!I74,IF($AZ$32="p",'Profils de colonie'!I102,IF($AZ$32="a",'Profils de colonie'!I130,IF($AZ$32="b",'Profils de colonie'!I158,IF($AZ$32="c",'Profils de colonie'!I186,IF($AZ$32="r",'Profils de colonie'!I214,IF($AZ$32="s",'Profils de colonie'!I242,IF($AZ$32="f",'Profils de colonie'!I270,"erreur")))))))))</f>
        <v>22</v>
      </c>
      <c r="BQ20">
        <f t="shared" si="4"/>
        <v>44000</v>
      </c>
      <c r="BR20" s="68">
        <f>IF($AZ$32="d",'Profils de colonie'!G46,IF($AZ$32="n",'Profils de colonie'!G74,IF($AZ$32="p",'Profils de colonie'!G102,IF($AZ$32="a",'Profils de colonie'!G130,IF($AZ$32="b",'Profils de colonie'!G158,IF($AZ$32="c",'Profils de colonie'!G186,IF($AZ$32="r",'Profils de colonie'!G214,IF($AZ$32="s",'Profils de colonie'!G242,IF($AZ$32="f",'Profils de colonie'!G270,"erreur")))))))))</f>
        <v>4</v>
      </c>
      <c r="BS20" s="13">
        <f t="shared" si="5"/>
        <v>18000</v>
      </c>
      <c r="BT20" s="17">
        <f t="shared" si="6"/>
        <v>0.40909090909090912</v>
      </c>
      <c r="BU20">
        <f t="shared" si="39"/>
        <v>10800</v>
      </c>
      <c r="BV20" s="14">
        <f t="shared" si="40"/>
        <v>3293.3953068925266</v>
      </c>
      <c r="BW20" s="14">
        <f t="shared" si="7"/>
        <v>900</v>
      </c>
      <c r="BX20" s="89">
        <f t="shared" si="41"/>
        <v>9.4690893801104821</v>
      </c>
      <c r="BY20" s="21">
        <f t="shared" si="8"/>
        <v>21.469089380110482</v>
      </c>
      <c r="BZ20" s="26">
        <f t="shared" si="9"/>
        <v>0.44105687076243161</v>
      </c>
      <c r="CA20" s="103">
        <f t="shared" si="10"/>
        <v>0.55894312923756839</v>
      </c>
      <c r="CB20" s="22">
        <f t="shared" si="11"/>
        <v>4527.2888145253592</v>
      </c>
      <c r="CC20" s="5">
        <f t="shared" si="12"/>
        <v>10800</v>
      </c>
      <c r="CD20" s="67">
        <f>IF($AZ$32="d",'Profils de colonie'!K46,IF($AZ$32="n",'Profils de colonie'!K74,IF($AZ$32="p",'Profils de colonie'!K102,IF($AZ$32="a",'Profils de colonie'!K130,IF($AZ$32="b",'Profils de colonie'!K158,IF($AZ$32="c",'Profils de colonie'!K186,IF($AZ$32="r",'Profils de colonie'!K214,IF($AZ$32="s",'Profils de colonie'!K214,IF($AZ$32="f",'Profils de colonie'!K270,"erreur")))))))))</f>
        <v>0.05</v>
      </c>
      <c r="CE20" s="87">
        <f t="shared" si="42"/>
        <v>3.2000000000000001E-2</v>
      </c>
      <c r="CF20" s="63">
        <f t="shared" si="43"/>
        <v>0.16</v>
      </c>
      <c r="CG20" s="84">
        <f t="shared" si="44"/>
        <v>8.9430900678010947E-2</v>
      </c>
      <c r="CH20" s="60">
        <f t="shared" si="13"/>
        <v>724.36621032405753</v>
      </c>
      <c r="CI20" s="61">
        <f t="shared" si="45"/>
        <v>2.0959670437617404</v>
      </c>
      <c r="CJ20" s="266">
        <f t="shared" si="14"/>
        <v>0.87704871312993538</v>
      </c>
      <c r="CK20" s="267">
        <f t="shared" si="46"/>
        <v>2.389795472456524</v>
      </c>
      <c r="CL20" s="61">
        <f t="shared" si="15"/>
        <v>24.469089380110482</v>
      </c>
      <c r="CM20" s="265">
        <v>1</v>
      </c>
      <c r="CN20" s="71">
        <f t="shared" si="16"/>
        <v>4.2749999999999995</v>
      </c>
      <c r="CO20" s="65">
        <f t="shared" si="47"/>
        <v>9.8493837450082944E-2</v>
      </c>
      <c r="CP20" s="85">
        <f t="shared" si="48"/>
        <v>0.46951222855955743</v>
      </c>
      <c r="CQ20" s="59">
        <f t="shared" si="49"/>
        <v>10454.4</v>
      </c>
      <c r="CR20" s="59">
        <f t="shared" si="17"/>
        <v>3802.9226042013015</v>
      </c>
      <c r="CS20" s="62">
        <f t="shared" si="18"/>
        <v>0.36376287536360785</v>
      </c>
      <c r="CT20" s="263">
        <f t="shared" si="19"/>
        <v>0.30494400989745618</v>
      </c>
      <c r="CU20" s="265">
        <f t="shared" si="50"/>
        <v>1.1928802359675614</v>
      </c>
      <c r="CV20" s="64">
        <f t="shared" si="20"/>
        <v>0.84</v>
      </c>
      <c r="CW20" s="62">
        <f t="shared" si="21"/>
        <v>21.469089380110482</v>
      </c>
      <c r="CX20" s="264">
        <v>1</v>
      </c>
      <c r="CY20" s="70">
        <f t="shared" si="51"/>
        <v>2.2586249999999999</v>
      </c>
      <c r="CZ20" s="66">
        <f t="shared" si="22"/>
        <v>6.518049768398862E-2</v>
      </c>
      <c r="DA20" s="91">
        <f t="shared" si="23"/>
        <v>3.9411433320625092E-2</v>
      </c>
      <c r="DB20" s="23">
        <f t="shared" si="24"/>
        <v>-5.0125418235442863E-3</v>
      </c>
      <c r="DC20" s="28">
        <f t="shared" si="25"/>
        <v>3.4398891497080808E-2</v>
      </c>
      <c r="DD20" s="28"/>
      <c r="DE20" s="270">
        <f t="shared" si="69"/>
        <v>8099.730684051613</v>
      </c>
      <c r="DF20" s="178">
        <f t="shared" si="26"/>
        <v>5669.811478836129</v>
      </c>
      <c r="DG20" s="177">
        <f t="shared" si="52"/>
        <v>5669.811478836129</v>
      </c>
      <c r="DH20" s="116">
        <f t="shared" si="70"/>
        <v>4654.8782032213294</v>
      </c>
      <c r="DI20" s="13">
        <f t="shared" si="54"/>
        <v>12754.608887272942</v>
      </c>
      <c r="DJ20" s="199">
        <f t="shared" si="55"/>
        <v>936.17766638083594</v>
      </c>
      <c r="DK20" s="107">
        <f t="shared" si="27"/>
        <v>11818.431220892106</v>
      </c>
      <c r="DL20" s="182">
        <f>'Immigration de varroas'!E27</f>
        <v>0</v>
      </c>
      <c r="DM20" s="109">
        <f t="shared" si="56"/>
        <v>-967.41370612380513</v>
      </c>
      <c r="DN20" s="82">
        <f t="shared" si="64"/>
        <v>-967.41370612380513</v>
      </c>
      <c r="DO20" s="198">
        <f t="shared" si="28"/>
        <v>10851.0175147683</v>
      </c>
      <c r="DP20" s="278">
        <f>EY$33</f>
        <v>0</v>
      </c>
      <c r="DQ20" s="107">
        <f t="shared" si="57"/>
        <v>0</v>
      </c>
      <c r="DR20" s="79">
        <f t="shared" si="29"/>
        <v>10851.0175147683</v>
      </c>
      <c r="DS20" s="23">
        <f t="shared" si="30"/>
        <v>1.9228145326635037E-2</v>
      </c>
      <c r="DT20" s="158">
        <f t="shared" si="31"/>
        <v>40770</v>
      </c>
      <c r="DU20" s="74">
        <f t="shared" si="32"/>
        <v>3572.4418695262539</v>
      </c>
      <c r="DV20" s="23">
        <f t="shared" si="33"/>
        <v>8.1191860671051219E-2</v>
      </c>
      <c r="DW20" s="114">
        <f t="shared" si="34"/>
        <v>25.575436111381133</v>
      </c>
      <c r="DX20" s="179" t="str">
        <f t="shared" si="66"/>
        <v/>
      </c>
      <c r="DY20" s="179" t="str">
        <f t="shared" si="67"/>
        <v/>
      </c>
      <c r="DZ20" s="179"/>
      <c r="EA20">
        <f t="shared" si="68"/>
        <v>0</v>
      </c>
      <c r="EB20" s="13">
        <f t="shared" si="58"/>
        <v>13858.59375</v>
      </c>
      <c r="EC20" s="14">
        <f t="shared" si="59"/>
        <v>-6000</v>
      </c>
      <c r="ED20" s="13">
        <f t="shared" si="60"/>
        <v>19858.59375</v>
      </c>
      <c r="EE20" s="13">
        <f t="shared" si="65"/>
        <v>1305.7705479452054</v>
      </c>
      <c r="EF20" s="17">
        <f t="shared" si="61"/>
        <v>0.6</v>
      </c>
      <c r="EG20" s="197">
        <f t="shared" si="62"/>
        <v>967.41370612380513</v>
      </c>
      <c r="EI20" s="13">
        <f t="shared" si="63"/>
        <v>4654.8782032213294</v>
      </c>
      <c r="EJ20" s="131">
        <f>EY$58</f>
        <v>1620.9058394804883</v>
      </c>
      <c r="EK20" s="31">
        <f>EX$60</f>
        <v>0.10302339659091661</v>
      </c>
      <c r="EM20" s="31"/>
      <c r="EO20" s="2">
        <v>40770</v>
      </c>
      <c r="EP20" s="193">
        <v>43146</v>
      </c>
      <c r="ES20">
        <v>13.23</v>
      </c>
    </row>
    <row r="21" spans="2:163" ht="16" customHeight="1">
      <c r="B21" s="455" t="s">
        <v>110</v>
      </c>
      <c r="C21" s="456"/>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346"/>
      <c r="AB21" s="468"/>
      <c r="AC21" s="454"/>
      <c r="AE21" s="274"/>
      <c r="AF21" s="274"/>
      <c r="AZ21" s="288">
        <f t="shared" si="35"/>
        <v>40787</v>
      </c>
      <c r="BA21" s="48">
        <f t="shared" si="0"/>
        <v>10851.0175147683</v>
      </c>
      <c r="BB21" s="222">
        <f t="shared" si="36"/>
        <v>1.7371008693700004E-2</v>
      </c>
      <c r="BC21" s="173">
        <f t="shared" si="1"/>
        <v>0</v>
      </c>
      <c r="BD21" s="99">
        <f t="shared" si="37"/>
        <v>39.519194348471245</v>
      </c>
      <c r="BE21" s="4">
        <f t="shared" si="2"/>
        <v>0.45685622623043975</v>
      </c>
      <c r="BF21" s="3">
        <f t="shared" si="3"/>
        <v>0.43935003028936037</v>
      </c>
      <c r="BG21" s="380"/>
      <c r="BH21" s="378"/>
      <c r="BI21" s="378"/>
      <c r="BJ21" s="378"/>
      <c r="BK21" s="378"/>
      <c r="BL21" s="378"/>
      <c r="BN21" s="392"/>
      <c r="BO21" s="158">
        <f t="shared" si="38"/>
        <v>40787</v>
      </c>
      <c r="BP21" s="373">
        <f>IF($AZ$32="d",'Profils de colonie'!I47,IF($AZ$32="n",'Profils de colonie'!I75,IF($AZ$32="p",'Profils de colonie'!I103,IF($AZ$32="a",'Profils de colonie'!I131,IF($AZ$32="b",'Profils de colonie'!I159,IF($AZ$32="c",'Profils de colonie'!I187,IF($AZ$32="r",'Profils de colonie'!I215,IF($AZ$32="s",'Profils de colonie'!I243,IF($AZ$32="f",'Profils de colonie'!I271,"erreur")))))))))</f>
        <v>19</v>
      </c>
      <c r="BQ21">
        <f t="shared" si="4"/>
        <v>38000</v>
      </c>
      <c r="BR21" s="68">
        <f>IF($AZ$32="d",'Profils de colonie'!G47,IF($AZ$32="n",'Profils de colonie'!G75,IF($AZ$32="p",'Profils de colonie'!G103,IF($AZ$32="a",'Profils de colonie'!G131,IF($AZ$32="b",'Profils de colonie'!G159,IF($AZ$32="c",'Profils de colonie'!G187,IF($AZ$32="r",'Profils de colonie'!G215,IF($AZ$32="s",'Profils de colonie'!G243,IF($AZ$32="f",'Profils de colonie'!G271,"erreur")))))))))</f>
        <v>3.5</v>
      </c>
      <c r="BS21" s="13">
        <f t="shared" si="5"/>
        <v>15750</v>
      </c>
      <c r="BT21" s="17">
        <f t="shared" si="6"/>
        <v>0.41447368421052633</v>
      </c>
      <c r="BU21">
        <f t="shared" si="39"/>
        <v>9450</v>
      </c>
      <c r="BV21" s="14">
        <f t="shared" si="40"/>
        <v>4317.2913378776557</v>
      </c>
      <c r="BW21" s="14">
        <f t="shared" si="7"/>
        <v>787.5</v>
      </c>
      <c r="BX21" s="89">
        <f t="shared" si="41"/>
        <v>9.4037289722737185</v>
      </c>
      <c r="BY21" s="21">
        <f t="shared" si="8"/>
        <v>21.403728972273719</v>
      </c>
      <c r="BZ21" s="26">
        <f t="shared" si="9"/>
        <v>0.43935003028936037</v>
      </c>
      <c r="CA21" s="103">
        <f t="shared" si="10"/>
        <v>0.56064996971063963</v>
      </c>
      <c r="CB21" s="22">
        <f t="shared" si="11"/>
        <v>6083.6226409844676</v>
      </c>
      <c r="CC21" s="5">
        <f t="shared" si="12"/>
        <v>9450</v>
      </c>
      <c r="CD21" s="67">
        <f>IF($AZ$32="d",'Profils de colonie'!K47,IF($AZ$32="n",'Profils de colonie'!K75,IF($AZ$32="p",'Profils de colonie'!K103,IF($AZ$32="a",'Profils de colonie'!K131,IF($AZ$32="b",'Profils de colonie'!K159,IF($AZ$32="c",'Profils de colonie'!K187,IF($AZ$32="r",'Profils de colonie'!K215,IF($AZ$32="s",'Profils de colonie'!K215,IF($AZ$32="f",'Profils de colonie'!K271,"erreur")))))))))</f>
        <v>0.02</v>
      </c>
      <c r="CE21" s="87">
        <f t="shared" si="42"/>
        <v>1.2800000000000001E-2</v>
      </c>
      <c r="CF21" s="63">
        <f t="shared" si="43"/>
        <v>6.4000000000000001E-2</v>
      </c>
      <c r="CG21" s="84">
        <f t="shared" si="44"/>
        <v>3.5881598061480939E-2</v>
      </c>
      <c r="CH21" s="60">
        <f t="shared" si="13"/>
        <v>389.35184902300591</v>
      </c>
      <c r="CI21" s="61">
        <f t="shared" si="45"/>
        <v>3.2188479581928395</v>
      </c>
      <c r="CJ21" s="266">
        <f t="shared" si="14"/>
        <v>0.95999888531745436</v>
      </c>
      <c r="CK21" s="267">
        <f t="shared" si="46"/>
        <v>3.3529705163443229</v>
      </c>
      <c r="CL21" s="61">
        <f t="shared" si="15"/>
        <v>24.403728972273719</v>
      </c>
      <c r="CM21" s="265">
        <v>1</v>
      </c>
      <c r="CN21" s="71">
        <f t="shared" si="16"/>
        <v>4.2749999999999995</v>
      </c>
      <c r="CO21" s="65">
        <f t="shared" si="47"/>
        <v>9.8493837450082944E-2</v>
      </c>
      <c r="CP21" s="85">
        <f t="shared" si="48"/>
        <v>0.52476837164915868</v>
      </c>
      <c r="CQ21" s="59">
        <f t="shared" si="49"/>
        <v>9329.0399999999991</v>
      </c>
      <c r="CR21" s="59">
        <f t="shared" si="17"/>
        <v>5694.2707919614613</v>
      </c>
      <c r="CS21" s="62">
        <f t="shared" si="18"/>
        <v>0.6103812173558546</v>
      </c>
      <c r="CT21" s="263">
        <f t="shared" si="19"/>
        <v>0.45685622623043975</v>
      </c>
      <c r="CU21" s="265">
        <f t="shared" si="50"/>
        <v>1.3360436966098836</v>
      </c>
      <c r="CV21" s="64">
        <f t="shared" si="20"/>
        <v>0.93599999999999994</v>
      </c>
      <c r="CW21" s="62">
        <f t="shared" si="21"/>
        <v>21.403728972273719</v>
      </c>
      <c r="CX21" s="264">
        <v>1</v>
      </c>
      <c r="CY21" s="70">
        <f t="shared" si="51"/>
        <v>2.2586249999999999</v>
      </c>
      <c r="CZ21" s="66">
        <f t="shared" si="22"/>
        <v>6.518049768398862E-2</v>
      </c>
      <c r="DA21" s="91">
        <f t="shared" si="23"/>
        <v>3.7738779919825181E-2</v>
      </c>
      <c r="DB21" s="23">
        <f t="shared" si="24"/>
        <v>-5.0125418235442863E-3</v>
      </c>
      <c r="DC21" s="28">
        <f t="shared" si="25"/>
        <v>3.2726238096280898E-2</v>
      </c>
      <c r="DD21" s="28"/>
      <c r="DE21" s="270">
        <f t="shared" si="69"/>
        <v>10851.0175147683</v>
      </c>
      <c r="DF21" s="178">
        <f t="shared" si="26"/>
        <v>7595.7122603378093</v>
      </c>
      <c r="DG21" s="177">
        <f t="shared" si="52"/>
        <v>7595.7122603378093</v>
      </c>
      <c r="DH21" s="116">
        <f t="shared" si="70"/>
        <v>5888.6121558734549</v>
      </c>
      <c r="DI21" s="13">
        <f t="shared" si="54"/>
        <v>16739.629670641756</v>
      </c>
      <c r="DJ21" s="199">
        <f t="shared" si="55"/>
        <v>1228.674871934194</v>
      </c>
      <c r="DK21" s="107">
        <f t="shared" si="27"/>
        <v>15510.954798707562</v>
      </c>
      <c r="DL21" s="182">
        <f>'Immigration de varroas'!E28</f>
        <v>0</v>
      </c>
      <c r="DM21" s="109">
        <f t="shared" si="56"/>
        <v>-1378.9376028020147</v>
      </c>
      <c r="DN21" s="82">
        <f t="shared" si="64"/>
        <v>-1378.9376028020147</v>
      </c>
      <c r="DO21" s="198">
        <f t="shared" si="28"/>
        <v>14132.017195905548</v>
      </c>
      <c r="DP21" s="278">
        <f>EZ$33</f>
        <v>0</v>
      </c>
      <c r="DQ21" s="107">
        <f t="shared" si="57"/>
        <v>0</v>
      </c>
      <c r="DR21" s="79">
        <f t="shared" si="29"/>
        <v>14132.017195905548</v>
      </c>
      <c r="DS21" s="23">
        <f t="shared" si="30"/>
        <v>1.7371008693700004E-2</v>
      </c>
      <c r="DT21" s="158">
        <f t="shared" si="31"/>
        <v>40787</v>
      </c>
      <c r="DU21" s="74">
        <f t="shared" si="32"/>
        <v>4767.3948737838327</v>
      </c>
      <c r="DV21" s="23">
        <f t="shared" si="33"/>
        <v>0.12545775983641666</v>
      </c>
      <c r="DW21" s="114">
        <f t="shared" si="34"/>
        <v>39.519194348471245</v>
      </c>
      <c r="DX21" s="179" t="str">
        <f t="shared" si="66"/>
        <v/>
      </c>
      <c r="DY21" s="179" t="str">
        <f t="shared" si="67"/>
        <v/>
      </c>
      <c r="DZ21" s="179"/>
      <c r="EA21">
        <f t="shared" si="68"/>
        <v>0</v>
      </c>
      <c r="EB21" s="13">
        <f t="shared" si="58"/>
        <v>12318.75</v>
      </c>
      <c r="EC21" s="14">
        <f t="shared" si="59"/>
        <v>-6000</v>
      </c>
      <c r="ED21" s="13">
        <f t="shared" si="60"/>
        <v>18318.75</v>
      </c>
      <c r="EE21" s="13">
        <f t="shared" si="65"/>
        <v>1204.5205479452054</v>
      </c>
      <c r="EF21" s="17">
        <f t="shared" si="61"/>
        <v>0.6</v>
      </c>
      <c r="EG21" s="197">
        <f t="shared" si="62"/>
        <v>1378.9376028020147</v>
      </c>
      <c r="EI21" s="13">
        <f t="shared" si="63"/>
        <v>5888.6121558734549</v>
      </c>
      <c r="EJ21" s="131">
        <f>EZ$58</f>
        <v>2430.3669629114393</v>
      </c>
      <c r="EK21" s="31">
        <f>EY$60</f>
        <v>0.11529512513186296</v>
      </c>
      <c r="EO21" s="2">
        <v>40787</v>
      </c>
      <c r="EP21" s="193">
        <v>43160</v>
      </c>
    </row>
    <row r="22" spans="2:163" ht="16" customHeight="1">
      <c r="B22" s="286" t="s">
        <v>111</v>
      </c>
      <c r="C22" s="290" t="s">
        <v>112</v>
      </c>
      <c r="D22" s="469" t="str">
        <f>IF($C$22="a",'Profils de colonie'!B114,IF($C$22="d",'Profils de colonie'!B30,IF($C$22="b",'Profils de colonie'!B142,IF($C$22="c",'Profils de colonie'!B170,IF($C$22="r",'Profils de colonie'!B198,IF($C$22="s",'Profils de colonie'!B226,IF($C$22="f",'Profils de colonie'!B254,IF($C$22="n",'Profils de colonie'!B58,IF($C$22="p",'Profils de colonie'!B86,"erreur")))))))))</f>
        <v>D : colonie par défaut en climat tempéré, conduite pour éviter l’essaimage (légère reprise du couvain en automne)</v>
      </c>
      <c r="E22" s="470"/>
      <c r="F22" s="470"/>
      <c r="G22" s="470"/>
      <c r="H22" s="470"/>
      <c r="I22" s="470"/>
      <c r="J22" s="470"/>
      <c r="K22" s="470"/>
      <c r="L22" s="470"/>
      <c r="M22" s="470"/>
      <c r="N22" s="470"/>
      <c r="O22" s="470"/>
      <c r="P22" s="470"/>
      <c r="Q22" s="470"/>
      <c r="R22" s="470"/>
      <c r="S22" s="470"/>
      <c r="T22" s="470"/>
      <c r="U22" s="470"/>
      <c r="V22" s="470"/>
      <c r="W22" s="470"/>
      <c r="X22" s="470"/>
      <c r="Y22" s="470"/>
      <c r="Z22" s="470"/>
      <c r="AA22" s="459"/>
      <c r="AB22" s="461" t="s">
        <v>113</v>
      </c>
      <c r="AC22" s="461"/>
      <c r="AZ22" s="288">
        <f t="shared" si="35"/>
        <v>40801</v>
      </c>
      <c r="BA22" s="48">
        <f t="shared" si="0"/>
        <v>14132.017195905548</v>
      </c>
      <c r="BB22" s="222">
        <f t="shared" si="36"/>
        <v>1.5900433493300687E-2</v>
      </c>
      <c r="BC22" s="173">
        <f t="shared" si="1"/>
        <v>0</v>
      </c>
      <c r="BD22" s="99">
        <f t="shared" si="37"/>
        <v>55.127560314595961</v>
      </c>
      <c r="BE22" s="4">
        <f t="shared" si="2"/>
        <v>0.52716378948061304</v>
      </c>
      <c r="BF22" s="3">
        <f t="shared" si="3"/>
        <v>0.39628172098980846</v>
      </c>
      <c r="BG22" s="400" t="s">
        <v>114</v>
      </c>
      <c r="BH22" s="378" t="s">
        <v>115</v>
      </c>
      <c r="BI22" s="378"/>
      <c r="BJ22" s="378"/>
      <c r="BK22" s="378"/>
      <c r="BL22" s="378"/>
      <c r="BN22" s="392"/>
      <c r="BO22" s="158">
        <f t="shared" si="38"/>
        <v>40801</v>
      </c>
      <c r="BP22" s="373">
        <f>IF($AZ$32="d",'Profils de colonie'!I48,IF($AZ$32="n",'Profils de colonie'!I76,IF($AZ$32="p",'Profils de colonie'!I104,IF($AZ$32="a",'Profils de colonie'!I132,IF($AZ$32="b",'Profils de colonie'!I160,IF($AZ$32="c",'Profils de colonie'!I188,IF($AZ$32="r",'Profils de colonie'!I216,IF($AZ$32="s",'Profils de colonie'!I244,IF($AZ$32="f",'Profils de colonie'!I272,"erreur")))))))))</f>
        <v>16</v>
      </c>
      <c r="BQ22">
        <f t="shared" si="4"/>
        <v>32000</v>
      </c>
      <c r="BR22" s="68">
        <f>IF($AZ$32="d",'Profils de colonie'!G48,IF($AZ$32="n",'Profils de colonie'!G76,IF($AZ$32="p",'Profils de colonie'!G104,IF($AZ$32="a",'Profils de colonie'!G132,IF($AZ$32="b",'Profils de colonie'!G160,IF($AZ$32="c",'Profils de colonie'!G188,IF($AZ$32="r",'Profils de colonie'!G216,IF($AZ$32="s",'Profils de colonie'!G244,IF($AZ$32="f",'Profils de colonie'!G272,"erreur")))))))))</f>
        <v>4</v>
      </c>
      <c r="BS22" s="13">
        <f t="shared" si="5"/>
        <v>18000</v>
      </c>
      <c r="BT22" s="17">
        <f t="shared" si="6"/>
        <v>0.5625</v>
      </c>
      <c r="BU22">
        <f t="shared" si="39"/>
        <v>10800</v>
      </c>
      <c r="BV22" s="14">
        <f t="shared" si="40"/>
        <v>5693.3689263906208</v>
      </c>
      <c r="BW22" s="14">
        <f t="shared" si="7"/>
        <v>900</v>
      </c>
      <c r="BX22" s="89">
        <f t="shared" si="41"/>
        <v>7.8768207245178088</v>
      </c>
      <c r="BY22" s="21">
        <f t="shared" si="8"/>
        <v>19.87682072451781</v>
      </c>
      <c r="BZ22" s="26">
        <f t="shared" si="9"/>
        <v>0.39628172098980846</v>
      </c>
      <c r="CA22" s="103">
        <f t="shared" si="10"/>
        <v>0.60371827901019159</v>
      </c>
      <c r="CB22" s="22">
        <f t="shared" si="11"/>
        <v>8531.7571004545316</v>
      </c>
      <c r="CC22" s="5">
        <f t="shared" si="12"/>
        <v>10800</v>
      </c>
      <c r="CD22" s="67">
        <f>IF($AZ$32="d",'Profils de colonie'!K48,IF($AZ$32="n",'Profils de colonie'!K76,IF($AZ$32="p",'Profils de colonie'!K104,IF($AZ$32="a",'Profils de colonie'!K132,IF($AZ$32="b",'Profils de colonie'!K160,IF($AZ$32="c",'Profils de colonie'!K188,IF($AZ$32="r",'Profils de colonie'!K216,IF($AZ$32="s",'Profils de colonie'!K216,IF($AZ$32="f",'Profils de colonie'!K272,"erreur")))))))))</f>
        <v>0.02</v>
      </c>
      <c r="CE22" s="87">
        <f t="shared" si="42"/>
        <v>1.2800000000000001E-2</v>
      </c>
      <c r="CF22" s="63">
        <f t="shared" si="43"/>
        <v>6.4000000000000001E-2</v>
      </c>
      <c r="CG22" s="84">
        <f t="shared" si="44"/>
        <v>3.8637969856652264E-2</v>
      </c>
      <c r="CH22" s="60">
        <f t="shared" si="13"/>
        <v>546.03245442909008</v>
      </c>
      <c r="CI22" s="61">
        <f t="shared" si="45"/>
        <v>3.9498875465067278</v>
      </c>
      <c r="CJ22" s="266">
        <f t="shared" si="14"/>
        <v>0.98074313284438652</v>
      </c>
      <c r="CK22" s="267">
        <f t="shared" si="46"/>
        <v>4.027443490785525</v>
      </c>
      <c r="CL22" s="61">
        <f t="shared" si="15"/>
        <v>22.87682072451781</v>
      </c>
      <c r="CM22" s="265">
        <v>1</v>
      </c>
      <c r="CN22" s="71">
        <f t="shared" si="16"/>
        <v>4.2749999999999995</v>
      </c>
      <c r="CO22" s="65">
        <f t="shared" si="47"/>
        <v>9.8493837450082944E-2</v>
      </c>
      <c r="CP22" s="85">
        <f t="shared" si="48"/>
        <v>0.56508030915353935</v>
      </c>
      <c r="CQ22" s="59">
        <f t="shared" si="49"/>
        <v>10661.76</v>
      </c>
      <c r="CR22" s="59">
        <f t="shared" si="17"/>
        <v>7985.7246460254419</v>
      </c>
      <c r="CS22" s="62">
        <f t="shared" si="18"/>
        <v>0.74900622842996289</v>
      </c>
      <c r="CT22" s="263">
        <f t="shared" si="19"/>
        <v>0.52716378948061304</v>
      </c>
      <c r="CU22" s="265">
        <f t="shared" si="50"/>
        <v>1.4208199094023677</v>
      </c>
      <c r="CV22" s="64">
        <f t="shared" si="20"/>
        <v>0.93599999999999994</v>
      </c>
      <c r="CW22" s="62">
        <f t="shared" si="21"/>
        <v>19.87682072451781</v>
      </c>
      <c r="CX22" s="264">
        <v>1</v>
      </c>
      <c r="CY22" s="70">
        <f t="shared" si="51"/>
        <v>2.2586249999999999</v>
      </c>
      <c r="CZ22" s="66">
        <f t="shared" si="22"/>
        <v>6.518049768398862E-2</v>
      </c>
      <c r="DA22" s="91">
        <f t="shared" si="23"/>
        <v>4.0637817704512157E-2</v>
      </c>
      <c r="DB22" s="23">
        <f t="shared" si="24"/>
        <v>-5.0125418235442863E-3</v>
      </c>
      <c r="DC22" s="28">
        <f t="shared" si="25"/>
        <v>3.5625275880967873E-2</v>
      </c>
      <c r="DD22" s="28"/>
      <c r="DE22" s="270">
        <f t="shared" si="69"/>
        <v>14132.017195905548</v>
      </c>
      <c r="DF22" s="178">
        <f t="shared" si="26"/>
        <v>9892.4120371338831</v>
      </c>
      <c r="DG22" s="177">
        <f t="shared" si="52"/>
        <v>9892.4120371338831</v>
      </c>
      <c r="DH22" s="116">
        <f t="shared" si="70"/>
        <v>8460.7426990703752</v>
      </c>
      <c r="DI22" s="13">
        <f t="shared" si="54"/>
        <v>22592.759894975923</v>
      </c>
      <c r="DJ22" s="199">
        <f t="shared" si="55"/>
        <v>1658.2897541206657</v>
      </c>
      <c r="DK22" s="107">
        <f t="shared" si="27"/>
        <v>20934.470140855257</v>
      </c>
      <c r="DL22" s="182">
        <f>'Immigration de varroas'!E29</f>
        <v>0</v>
      </c>
      <c r="DM22" s="109">
        <f t="shared" si="56"/>
        <v>-2936.4449724121464</v>
      </c>
      <c r="DN22" s="82">
        <f t="shared" si="64"/>
        <v>-2936.4449724121464</v>
      </c>
      <c r="DO22" s="198">
        <f t="shared" si="28"/>
        <v>17998.02516844311</v>
      </c>
      <c r="DP22" s="278">
        <f>FA$33</f>
        <v>0</v>
      </c>
      <c r="DQ22" s="107">
        <f t="shared" si="57"/>
        <v>0</v>
      </c>
      <c r="DR22" s="79">
        <f t="shared" si="29"/>
        <v>17998.02516844311</v>
      </c>
      <c r="DS22" s="23">
        <f t="shared" si="30"/>
        <v>1.5900433493300687E-2</v>
      </c>
      <c r="DT22" s="158">
        <f t="shared" si="31"/>
        <v>40801</v>
      </c>
      <c r="DU22" s="74">
        <f t="shared" si="32"/>
        <v>5600.2600954510181</v>
      </c>
      <c r="DV22" s="23">
        <f t="shared" si="33"/>
        <v>0.17500812798284432</v>
      </c>
      <c r="DW22" s="114">
        <f t="shared" si="34"/>
        <v>55.127560314595961</v>
      </c>
      <c r="DX22" s="179" t="str">
        <f t="shared" si="66"/>
        <v/>
      </c>
      <c r="DY22" s="179" t="str">
        <f t="shared" si="67"/>
        <v/>
      </c>
      <c r="DZ22" s="179"/>
      <c r="EA22">
        <f t="shared" si="68"/>
        <v>0</v>
      </c>
      <c r="EB22" s="13">
        <f t="shared" si="58"/>
        <v>10778.90625</v>
      </c>
      <c r="EC22" s="14">
        <f t="shared" si="59"/>
        <v>-6000</v>
      </c>
      <c r="ED22" s="13">
        <f t="shared" si="60"/>
        <v>16778.90625</v>
      </c>
      <c r="EE22" s="13">
        <f t="shared" si="65"/>
        <v>1103.2705479452054</v>
      </c>
      <c r="EF22" s="17">
        <f t="shared" si="61"/>
        <v>1</v>
      </c>
      <c r="EG22" s="197">
        <f t="shared" si="62"/>
        <v>2936.4449724121464</v>
      </c>
      <c r="EI22" s="13">
        <f t="shared" si="63"/>
        <v>8460.7426990703752</v>
      </c>
      <c r="EJ22" s="131">
        <f>FA$58</f>
        <v>3543.0599071706147</v>
      </c>
      <c r="EK22" s="31">
        <f>EZ$60</f>
        <v>0.12839331989236916</v>
      </c>
      <c r="EO22" s="2">
        <v>40801</v>
      </c>
      <c r="EP22" s="193">
        <v>43174</v>
      </c>
      <c r="ES22">
        <v>19.53</v>
      </c>
    </row>
    <row r="23" spans="2:163" ht="16" customHeight="1">
      <c r="B23" s="280" t="s">
        <v>116</v>
      </c>
      <c r="C23" s="285">
        <v>50</v>
      </c>
      <c r="D23" s="295">
        <f>IF('Paramètres libres'!$BA6=0,"",'Paramètres libres'!$BA6)</f>
        <v>46.330041655314922</v>
      </c>
      <c r="E23" s="295">
        <f>IF('Paramètres libres'!$BA7=0,"",'Paramètres libres'!$BA7)</f>
        <v>57.392345981415637</v>
      </c>
      <c r="F23" s="295">
        <f>IF('Paramètres libres'!$BA8=0,"",'Paramètres libres'!$BA8)</f>
        <v>71.179389056764322</v>
      </c>
      <c r="G23" s="295">
        <f>IF('Paramètres libres'!$BA9=0,"",'Paramètres libres'!$BA9)</f>
        <v>90.77581147168641</v>
      </c>
      <c r="H23" s="295">
        <f>IF('Paramètres libres'!$BA10=0,"",'Paramètres libres'!$BA10)</f>
        <v>120.49714911929527</v>
      </c>
      <c r="I23" s="295">
        <f>BA11</f>
        <v>171.79688114712022</v>
      </c>
      <c r="J23" s="295">
        <f>'Paramètres libres'!BA12</f>
        <v>271.90218951441358</v>
      </c>
      <c r="K23" s="295">
        <f>'Paramètres libres'!BA13</f>
        <v>478.36488362399018</v>
      </c>
      <c r="L23" s="295">
        <f>'Paramètres libres'!BA14</f>
        <v>805.28862518265703</v>
      </c>
      <c r="M23" s="295">
        <f>'Paramètres libres'!BA15</f>
        <v>1293.2566441869565</v>
      </c>
      <c r="N23" s="295">
        <f>'Paramètres libres'!BA16</f>
        <v>1997.0645717810373</v>
      </c>
      <c r="O23" s="295">
        <f>'Paramètres libres'!BA17</f>
        <v>2944.5766135365675</v>
      </c>
      <c r="P23" s="295">
        <f>'Paramètres libres'!BA18</f>
        <v>4233.900580316983</v>
      </c>
      <c r="Q23" s="295">
        <f>'Paramètres libres'!BA19</f>
        <v>5887.6224022605211</v>
      </c>
      <c r="R23" s="295">
        <f>'Paramètres libres'!BA20</f>
        <v>8099.730684051613</v>
      </c>
      <c r="S23" s="295">
        <f>'Paramètres libres'!BA21</f>
        <v>10851.0175147683</v>
      </c>
      <c r="T23" s="295">
        <f>'Paramètres libres'!BA22</f>
        <v>14132.017195905548</v>
      </c>
      <c r="U23" s="295">
        <f>'Paramètres libres'!BA23</f>
        <v>17998.02516844311</v>
      </c>
      <c r="V23" s="295" t="str">
        <f>'Paramètres libres'!BA24</f>
        <v/>
      </c>
      <c r="W23" s="295" t="str">
        <f>'Paramètres libres'!BA25</f>
        <v/>
      </c>
      <c r="X23" s="295" t="str">
        <f>'Paramètres libres'!BA26</f>
        <v/>
      </c>
      <c r="Y23" s="295" t="str">
        <f>'Paramètres libres'!BA27</f>
        <v/>
      </c>
      <c r="Z23" s="295" t="str">
        <f>'Paramètres libres'!BA28</f>
        <v/>
      </c>
      <c r="AA23" s="296" t="str">
        <f>'Paramètres libres'!BA29</f>
        <v/>
      </c>
      <c r="AB23" s="461"/>
      <c r="AC23" s="461"/>
      <c r="AE23" s="219"/>
      <c r="AF23" s="219"/>
      <c r="AZ23" s="288">
        <f t="shared" si="35"/>
        <v>40817</v>
      </c>
      <c r="BA23" s="48">
        <f t="shared" si="0"/>
        <v>17998.02516844311</v>
      </c>
      <c r="BB23" s="222">
        <f t="shared" si="36"/>
        <v>-5.0160897223336292E-3</v>
      </c>
      <c r="BC23" s="173">
        <f t="shared" si="1"/>
        <v>0</v>
      </c>
      <c r="BD23" s="99">
        <f t="shared" si="37"/>
        <v>0.315</v>
      </c>
      <c r="BE23" s="4">
        <f t="shared" si="2"/>
        <v>0.96430304541678047</v>
      </c>
      <c r="BF23" s="3">
        <f t="shared" si="3"/>
        <v>8.3326389467544378E-5</v>
      </c>
      <c r="BG23" s="401"/>
      <c r="BH23" s="378"/>
      <c r="BI23" s="378"/>
      <c r="BJ23" s="378"/>
      <c r="BK23" s="378"/>
      <c r="BL23" s="378"/>
      <c r="BN23" s="392"/>
      <c r="BO23" s="158">
        <f t="shared" si="38"/>
        <v>40817</v>
      </c>
      <c r="BP23" s="373">
        <f>IF($AZ$32="d",'Profils de colonie'!I49,IF($AZ$32="n",'Profils de colonie'!I77,IF($AZ$32="p",'Profils de colonie'!I105,IF($AZ$32="a",'Profils de colonie'!I133,IF($AZ$32="b",'Profils de colonie'!I161,IF($AZ$32="c",'Profils de colonie'!I189,IF($AZ$32="r",'Profils de colonie'!I217,IF($AZ$32="s",'Profils de colonie'!I245,IF($AZ$32="f",'Profils de colonie'!I273,"erreur")))))))))</f>
        <v>15</v>
      </c>
      <c r="BR23" s="68">
        <f>IF($AZ$32="d",'Profils de colonie'!G49,IF($AZ$32="n",'Profils de colonie'!G77,IF($AZ$32="p",'Profils de colonie'!G105,IF($AZ$32="a",'Profils de colonie'!G133,IF($AZ$32="b",'Profils de colonie'!G161,IF($AZ$32="c",'Profils de colonie'!G189,IF($AZ$32="r",'Profils de colonie'!G217,IF($AZ$32="s",'Profils de colonie'!G245,IF($AZ$32="f",'Profils de colonie'!G273,"erreur")))))))))</f>
        <v>2</v>
      </c>
      <c r="BS23" s="13">
        <f t="shared" si="5"/>
        <v>9000</v>
      </c>
      <c r="BT23" s="17">
        <f t="shared" si="6"/>
        <v>0</v>
      </c>
      <c r="BU23">
        <f t="shared" si="39"/>
        <v>5400</v>
      </c>
      <c r="BV23" s="14">
        <f t="shared" si="40"/>
        <v>5207.2364452506145</v>
      </c>
      <c r="BW23" s="14">
        <f t="shared" si="7"/>
        <v>450</v>
      </c>
      <c r="BX23" s="89">
        <f t="shared" si="41"/>
        <v>1E-3</v>
      </c>
      <c r="BY23" s="21">
        <f t="shared" si="8"/>
        <v>12.000999999999999</v>
      </c>
      <c r="BZ23" s="26">
        <f t="shared" si="9"/>
        <v>8.3326389467544378E-5</v>
      </c>
      <c r="CA23" s="103">
        <f t="shared" si="10"/>
        <v>0.99991667361053249</v>
      </c>
      <c r="CB23" s="22">
        <f t="shared" si="11"/>
        <v>17996.525457988279</v>
      </c>
      <c r="CC23" s="5">
        <f t="shared" si="12"/>
        <v>5400</v>
      </c>
      <c r="CD23" s="67">
        <f>IF($AZ$32="d",'Profils de colonie'!K49,IF($AZ$32="n",'Profils de colonie'!K77,IF($AZ$32="p",'Profils de colonie'!K105,IF($AZ$32="a",'Profils de colonie'!K133,IF($AZ$32="b",'Profils de colonie'!K161,IF($AZ$32="c",'Profils de colonie'!K189,IF($AZ$32="r",'Profils de colonie'!K217,IF($AZ$32="s",'Profils de colonie'!K217,IF($AZ$32="f",'Profils de colonie'!K273,"erreur")))))))))</f>
        <v>0</v>
      </c>
      <c r="CE23" s="87">
        <f t="shared" si="42"/>
        <v>0</v>
      </c>
      <c r="CF23" s="63">
        <f t="shared" si="43"/>
        <v>0</v>
      </c>
      <c r="CG23" s="84">
        <f t="shared" si="44"/>
        <v>0</v>
      </c>
      <c r="CH23" s="60">
        <f t="shared" si="13"/>
        <v>0</v>
      </c>
      <c r="CI23" s="61">
        <f t="shared" si="45"/>
        <v>0</v>
      </c>
      <c r="CJ23" s="266">
        <f t="shared" si="14"/>
        <v>0</v>
      </c>
      <c r="CK23" s="267">
        <f t="shared" si="46"/>
        <v>0</v>
      </c>
      <c r="CL23" s="61">
        <f t="shared" si="15"/>
        <v>15.000999999999999</v>
      </c>
      <c r="CM23" s="265">
        <v>1</v>
      </c>
      <c r="CN23" s="71">
        <f t="shared" si="16"/>
        <v>4.2749999999999995</v>
      </c>
      <c r="CO23" s="65">
        <f t="shared" si="47"/>
        <v>9.8493837450082944E-2</v>
      </c>
      <c r="CP23" s="85">
        <f t="shared" si="48"/>
        <v>0.99991667361053249</v>
      </c>
      <c r="CQ23" s="59">
        <f t="shared" si="49"/>
        <v>5400</v>
      </c>
      <c r="CR23" s="59">
        <f t="shared" si="17"/>
        <v>17996.525457988279</v>
      </c>
      <c r="CS23" s="62">
        <f t="shared" si="18"/>
        <v>3.332689899627459</v>
      </c>
      <c r="CT23" s="263">
        <f t="shared" si="19"/>
        <v>0.96430304541678047</v>
      </c>
      <c r="CU23" s="265">
        <f t="shared" si="50"/>
        <v>3.4560571590125826</v>
      </c>
      <c r="CV23" s="64">
        <f t="shared" si="20"/>
        <v>1</v>
      </c>
      <c r="CW23" s="62">
        <f t="shared" si="21"/>
        <v>12.000999999999999</v>
      </c>
      <c r="CX23" s="264">
        <v>1</v>
      </c>
      <c r="CY23" s="70">
        <f t="shared" si="51"/>
        <v>2.2586249999999999</v>
      </c>
      <c r="CZ23" s="66">
        <f t="shared" si="22"/>
        <v>0</v>
      </c>
      <c r="DA23" s="91">
        <f t="shared" si="23"/>
        <v>0</v>
      </c>
      <c r="DB23" s="23">
        <f t="shared" si="24"/>
        <v>-5.0125418235442863E-3</v>
      </c>
      <c r="DC23" s="28">
        <f t="shared" si="25"/>
        <v>-5.0125418235442863E-3</v>
      </c>
      <c r="DD23" s="28"/>
      <c r="DE23" s="270">
        <f t="shared" si="69"/>
        <v>17998.02516844311</v>
      </c>
      <c r="DF23" s="178">
        <f t="shared" si="26"/>
        <v>12598.617617910177</v>
      </c>
      <c r="DG23" s="177">
        <f t="shared" si="52"/>
        <v>12598.617617910177</v>
      </c>
      <c r="DH23" s="116">
        <f t="shared" si="70"/>
        <v>0</v>
      </c>
      <c r="DI23" s="13">
        <f t="shared" si="54"/>
        <v>17998.02516844311</v>
      </c>
      <c r="DJ23" s="199">
        <f t="shared" si="55"/>
        <v>1321.0400530955994</v>
      </c>
      <c r="DK23" s="107">
        <f t="shared" si="27"/>
        <v>16676.98511534751</v>
      </c>
      <c r="DL23" s="182">
        <f>'Immigration de varroas'!E30</f>
        <v>0</v>
      </c>
      <c r="DM23" s="109">
        <f t="shared" si="56"/>
        <v>-0.89982627289941386</v>
      </c>
      <c r="DN23" s="82">
        <f t="shared" si="64"/>
        <v>-0.89982627289941386</v>
      </c>
      <c r="DO23" s="198">
        <f t="shared" si="28"/>
        <v>16676.08528907461</v>
      </c>
      <c r="DP23" s="278">
        <f>FB$33</f>
        <v>0</v>
      </c>
      <c r="DQ23" s="107">
        <f t="shared" si="57"/>
        <v>0</v>
      </c>
      <c r="DR23" s="79">
        <f t="shared" si="29"/>
        <v>16676.08528907461</v>
      </c>
      <c r="DS23" s="23">
        <f t="shared" si="30"/>
        <v>-5.0160897223336292E-3</v>
      </c>
      <c r="DT23" s="158">
        <f t="shared" si="31"/>
        <v>40817</v>
      </c>
      <c r="DU23" s="74">
        <f t="shared" si="32"/>
        <v>1.4997104548323565</v>
      </c>
      <c r="DV23" s="23">
        <f t="shared" si="33"/>
        <v>1E-3</v>
      </c>
      <c r="DW23" s="114">
        <f t="shared" si="34"/>
        <v>0.315</v>
      </c>
      <c r="DX23" s="179" t="str">
        <f>IF((BR23&lt;0.25),DX22,IF(DX22=100,100,IF(CT21&gt;$AH$53,100,"")))</f>
        <v/>
      </c>
      <c r="DY23" s="179" t="str">
        <f t="shared" si="67"/>
        <v/>
      </c>
      <c r="DZ23" s="179"/>
      <c r="EA23">
        <f t="shared" si="68"/>
        <v>0</v>
      </c>
      <c r="EB23" s="13">
        <f t="shared" si="58"/>
        <v>12318.75</v>
      </c>
      <c r="EC23" s="14">
        <f t="shared" si="59"/>
        <v>-32000</v>
      </c>
      <c r="ED23" s="13">
        <f t="shared" si="60"/>
        <v>44318.75</v>
      </c>
      <c r="EE23" s="13">
        <f t="shared" si="65"/>
        <v>2914.1095890410957</v>
      </c>
      <c r="EF23" s="17">
        <f t="shared" si="61"/>
        <v>0.6</v>
      </c>
      <c r="EG23" s="197">
        <f t="shared" si="62"/>
        <v>26.591250000000002</v>
      </c>
      <c r="EI23" s="13">
        <f t="shared" si="63"/>
        <v>0</v>
      </c>
      <c r="EJ23" s="131">
        <f>FB$58</f>
        <v>5007.9420007461085</v>
      </c>
      <c r="EK23" s="31">
        <f>FA$60</f>
        <v>0.13617324616105375</v>
      </c>
      <c r="EO23" s="2">
        <v>40817</v>
      </c>
      <c r="EP23" s="193">
        <v>43191</v>
      </c>
    </row>
    <row r="24" spans="2:163" ht="16" customHeight="1">
      <c r="B24" s="291" t="s">
        <v>117</v>
      </c>
      <c r="C24" s="292">
        <v>1</v>
      </c>
      <c r="D24" s="293">
        <f>'Paramètres libres'!BC6</f>
        <v>0</v>
      </c>
      <c r="E24" s="293">
        <f>'Paramètres libres'!BC7</f>
        <v>0</v>
      </c>
      <c r="F24" s="293">
        <f>'Paramètres libres'!BC8</f>
        <v>0</v>
      </c>
      <c r="G24" s="293">
        <f>'Paramètres libres'!BC9</f>
        <v>0</v>
      </c>
      <c r="H24" s="293">
        <f>'Paramètres libres'!BC10</f>
        <v>0</v>
      </c>
      <c r="I24" s="293">
        <f>'Paramètres libres'!BC11</f>
        <v>0</v>
      </c>
      <c r="J24" s="293">
        <f>'Paramètres libres'!BC12</f>
        <v>0</v>
      </c>
      <c r="K24" s="293">
        <f>'Paramètres libres'!BC13</f>
        <v>0</v>
      </c>
      <c r="L24" s="293">
        <f>'Paramètres libres'!BC14</f>
        <v>0</v>
      </c>
      <c r="M24" s="293">
        <f>'Paramètres libres'!BC15</f>
        <v>0</v>
      </c>
      <c r="N24" s="293">
        <f>'Paramètres libres'!BC16</f>
        <v>0</v>
      </c>
      <c r="O24" s="293">
        <f>'Paramètres libres'!BC17</f>
        <v>0</v>
      </c>
      <c r="P24" s="293">
        <f>'Paramètres libres'!BC18</f>
        <v>0</v>
      </c>
      <c r="Q24" s="293">
        <f>'Paramètres libres'!BC19</f>
        <v>0</v>
      </c>
      <c r="R24" s="293">
        <f>'Paramètres libres'!BC20</f>
        <v>0</v>
      </c>
      <c r="S24" s="293">
        <f>'Paramètres libres'!BC21</f>
        <v>0</v>
      </c>
      <c r="T24" s="293">
        <f>'Paramètres libres'!BC22</f>
        <v>0</v>
      </c>
      <c r="U24" s="293">
        <f>'Paramètres libres'!BC23</f>
        <v>0</v>
      </c>
      <c r="V24" s="293" t="str">
        <f>'Paramètres libres'!BC24</f>
        <v/>
      </c>
      <c r="W24" s="293" t="str">
        <f>'Paramètres libres'!BC25</f>
        <v/>
      </c>
      <c r="X24" s="293" t="str">
        <f>'Paramètres libres'!BC26</f>
        <v/>
      </c>
      <c r="Y24" s="293" t="str">
        <f>'Paramètres libres'!BC27</f>
        <v/>
      </c>
      <c r="Z24" s="304">
        <f>SUM(D24:Y24)</f>
        <v>0</v>
      </c>
      <c r="AA24" s="305" t="s">
        <v>118</v>
      </c>
      <c r="AB24" s="461"/>
      <c r="AC24" s="461"/>
      <c r="AD24">
        <v>4</v>
      </c>
      <c r="AE24" s="219"/>
      <c r="AF24" s="219"/>
      <c r="AZ24" s="288">
        <f t="shared" si="35"/>
        <v>40831</v>
      </c>
      <c r="BA24" s="48" t="str">
        <f t="shared" si="0"/>
        <v/>
      </c>
      <c r="BB24" s="222" t="str">
        <f t="shared" si="36"/>
        <v/>
      </c>
      <c r="BC24" s="173" t="str">
        <f t="shared" si="1"/>
        <v/>
      </c>
      <c r="BD24" s="99" t="str">
        <f t="shared" si="37"/>
        <v/>
      </c>
      <c r="BE24" s="4" t="str">
        <f t="shared" si="2"/>
        <v/>
      </c>
      <c r="BF24" s="3" t="str">
        <f t="shared" si="3"/>
        <v/>
      </c>
      <c r="BG24" s="400" t="s">
        <v>119</v>
      </c>
      <c r="BH24" s="417" t="s">
        <v>120</v>
      </c>
      <c r="BI24" s="418"/>
      <c r="BJ24" s="418"/>
      <c r="BK24" s="418"/>
      <c r="BL24" s="419"/>
      <c r="BN24" s="392"/>
      <c r="BO24" s="158">
        <f t="shared" si="38"/>
        <v>40831</v>
      </c>
      <c r="BP24" s="373">
        <f>IF($AZ$32="d",'Profils de colonie'!I50,IF($AZ$32="n",'Profils de colonie'!I78,IF($AZ$32="p",'Profils de colonie'!I106,IF($AZ$32="a",'Profils de colonie'!I134,IF($AZ$32="b",'Profils de colonie'!I162,IF($AZ$32="c",'Profils de colonie'!I190,IF($AZ$32="r",'Profils de colonie'!I218,IF($AZ$32="s",'Profils de colonie'!I246,IF($AZ$32="f",'Profils de colonie'!I274,"erreur")))))))))</f>
        <v>12</v>
      </c>
      <c r="BQ24">
        <f t="shared" si="4"/>
        <v>24000</v>
      </c>
      <c r="BR24" s="68">
        <f>IF($AZ$32="d",'Profils de colonie'!G50,IF($AZ$32="n",'Profils de colonie'!G78,IF($AZ$32="p",'Profils de colonie'!G106,IF($AZ$32="a",'Profils de colonie'!G134,IF($AZ$32="b",'Profils de colonie'!G162,IF($AZ$32="c",'Profils de colonie'!G190,IF($AZ$32="r",'Profils de colonie'!G218,IF($AZ$32="s",'Profils de colonie'!G246,IF($AZ$32="f",'Profils de colonie'!G274,"erreur")))))))))</f>
        <v>0.5</v>
      </c>
      <c r="BS24" s="13">
        <f t="shared" si="5"/>
        <v>2250</v>
      </c>
      <c r="BT24" s="17">
        <f t="shared" si="6"/>
        <v>9.375E-2</v>
      </c>
      <c r="BU24">
        <f t="shared" si="39"/>
        <v>1350</v>
      </c>
      <c r="BV24" s="14">
        <f t="shared" si="40"/>
        <v>1342.0967226819655</v>
      </c>
      <c r="BW24" s="14">
        <f t="shared" si="7"/>
        <v>112.5</v>
      </c>
      <c r="BX24" s="89">
        <f t="shared" si="41"/>
        <v>16.835618070658086</v>
      </c>
      <c r="BY24" s="21">
        <f t="shared" si="8"/>
        <v>28.835618070658086</v>
      </c>
      <c r="BZ24" s="26">
        <f t="shared" si="9"/>
        <v>0.58384800455480101</v>
      </c>
      <c r="CA24" s="103">
        <f t="shared" si="10"/>
        <v>0.41615199544519899</v>
      </c>
      <c r="CB24" s="22">
        <f t="shared" si="11"/>
        <v>6939.7861692627266</v>
      </c>
      <c r="CC24" s="5">
        <f t="shared" si="12"/>
        <v>1350</v>
      </c>
      <c r="CD24" s="67">
        <f>IF($AZ$32="d",'Profils de colonie'!K50,IF($AZ$32="n",'Profils de colonie'!K78,IF($AZ$32="p",'Profils de colonie'!K106,IF($AZ$32="a",'Profils de colonie'!K134,IF($AZ$32="b",'Profils de colonie'!K162,IF($AZ$32="c",'Profils de colonie'!K190,IF($AZ$32="r",'Profils de colonie'!K218,IF($AZ$32="s",'Profils de colonie'!K218,IF($AZ$32="f",'Profils de colonie'!K274,"erreur")))))))))</f>
        <v>0</v>
      </c>
      <c r="CE24" s="87">
        <f t="shared" si="42"/>
        <v>0</v>
      </c>
      <c r="CF24" s="63">
        <f t="shared" si="43"/>
        <v>0</v>
      </c>
      <c r="CG24" s="84">
        <f t="shared" si="44"/>
        <v>0</v>
      </c>
      <c r="CH24" s="60">
        <f t="shared" si="13"/>
        <v>0</v>
      </c>
      <c r="CI24" s="61">
        <f t="shared" si="45"/>
        <v>0</v>
      </c>
      <c r="CJ24" s="266">
        <f t="shared" si="14"/>
        <v>0</v>
      </c>
      <c r="CK24" s="267">
        <f t="shared" si="46"/>
        <v>0</v>
      </c>
      <c r="CL24" s="61">
        <f t="shared" si="15"/>
        <v>31.835618070658086</v>
      </c>
      <c r="CM24" s="265">
        <v>1</v>
      </c>
      <c r="CN24" s="71">
        <f t="shared" si="16"/>
        <v>4.2749999999999995</v>
      </c>
      <c r="CO24" s="65">
        <f t="shared" si="47"/>
        <v>9.8493837450082944E-2</v>
      </c>
      <c r="CP24" s="85">
        <f t="shared" si="48"/>
        <v>0.41615199544519899</v>
      </c>
      <c r="CQ24" s="59">
        <f t="shared" si="49"/>
        <v>1350</v>
      </c>
      <c r="CR24" s="59">
        <f t="shared" si="17"/>
        <v>6939.7861692627266</v>
      </c>
      <c r="CS24" s="62">
        <f t="shared" si="18"/>
        <v>5.1405823476020194</v>
      </c>
      <c r="CT24" s="263">
        <f t="shared" si="19"/>
        <v>0.9941457205051597</v>
      </c>
      <c r="CU24" s="265">
        <f t="shared" si="50"/>
        <v>5.1708487706823743</v>
      </c>
      <c r="CV24" s="64">
        <f t="shared" si="20"/>
        <v>1</v>
      </c>
      <c r="CW24" s="62">
        <f t="shared" si="21"/>
        <v>28.835618070658086</v>
      </c>
      <c r="CX24" s="264">
        <v>1</v>
      </c>
      <c r="CY24" s="70">
        <f t="shared" si="51"/>
        <v>2.2586249999999999</v>
      </c>
      <c r="CZ24" s="66">
        <f t="shared" si="22"/>
        <v>0</v>
      </c>
      <c r="DA24" s="91">
        <f t="shared" si="23"/>
        <v>0</v>
      </c>
      <c r="DB24" s="23">
        <f t="shared" si="24"/>
        <v>-5.0125418235442863E-3</v>
      </c>
      <c r="DC24" s="28">
        <f t="shared" si="25"/>
        <v>-5.0125418235442863E-3</v>
      </c>
      <c r="DD24" s="28"/>
      <c r="DE24" s="270">
        <f t="shared" si="69"/>
        <v>16676.08528907461</v>
      </c>
      <c r="DF24" s="178">
        <f t="shared" si="26"/>
        <v>11673.259702352227</v>
      </c>
      <c r="DG24" s="177">
        <f t="shared" si="52"/>
        <v>11673.259702352227</v>
      </c>
      <c r="DH24" s="116">
        <f t="shared" si="70"/>
        <v>0</v>
      </c>
      <c r="DI24" s="13">
        <f t="shared" si="54"/>
        <v>16676.08528907461</v>
      </c>
      <c r="DJ24" s="199">
        <f t="shared" si="55"/>
        <v>1224.0107672663908</v>
      </c>
      <c r="DK24" s="107">
        <f t="shared" si="27"/>
        <v>15452.074521808219</v>
      </c>
      <c r="DL24" s="182">
        <f>'Immigration de varroas'!E31</f>
        <v>0</v>
      </c>
      <c r="DM24" s="109">
        <f t="shared" si="56"/>
        <v>7237.5692285164123</v>
      </c>
      <c r="DN24" s="82">
        <f t="shared" si="64"/>
        <v>7237.5692285164123</v>
      </c>
      <c r="DO24" s="198">
        <f t="shared" si="28"/>
        <v>22689.643750324631</v>
      </c>
      <c r="DP24" s="278">
        <f>FC$33</f>
        <v>0</v>
      </c>
      <c r="DQ24" s="107">
        <f t="shared" si="57"/>
        <v>0</v>
      </c>
      <c r="DR24" s="79">
        <f t="shared" si="29"/>
        <v>22689.643750324631</v>
      </c>
      <c r="DS24" s="23">
        <f t="shared" si="30"/>
        <v>2.0247644281494698E-2</v>
      </c>
      <c r="DT24" s="158">
        <f t="shared" si="31"/>
        <v>40831</v>
      </c>
      <c r="DU24" s="74">
        <f t="shared" si="32"/>
        <v>9736.2991198118834</v>
      </c>
      <c r="DV24" s="23">
        <f t="shared" si="33"/>
        <v>0.40567912999216182</v>
      </c>
      <c r="DW24" s="114">
        <f t="shared" si="34"/>
        <v>127.78892594753097</v>
      </c>
      <c r="DX24" s="179">
        <f t="shared" si="66"/>
        <v>100</v>
      </c>
      <c r="DY24" s="179" t="str">
        <f t="shared" si="67"/>
        <v/>
      </c>
      <c r="DZ24" s="179">
        <f t="shared" ref="DZ24:DZ29" si="71">IF(DW$22&gt;60,100,0)</f>
        <v>0</v>
      </c>
      <c r="EA24">
        <f t="shared" si="68"/>
        <v>100</v>
      </c>
      <c r="EB24" s="13">
        <f t="shared" si="58"/>
        <v>6159.375</v>
      </c>
      <c r="EC24" s="14">
        <f t="shared" si="59"/>
        <v>24000</v>
      </c>
      <c r="ED24" s="13">
        <f t="shared" si="60"/>
        <v>-17840.625</v>
      </c>
      <c r="EE24" s="13">
        <f t="shared" si="65"/>
        <v>-1173.0821917808219</v>
      </c>
      <c r="EF24" s="17">
        <f t="shared" si="61"/>
        <v>1</v>
      </c>
      <c r="EG24" s="197">
        <f t="shared" si="62"/>
        <v>-7237.5692285164123</v>
      </c>
      <c r="EI24" s="13">
        <f t="shared" si="63"/>
        <v>0</v>
      </c>
      <c r="EJ24" s="131">
        <f>FC$58</f>
        <v>6961.3223464184603</v>
      </c>
      <c r="EK24" s="31">
        <f>FB$60</f>
        <v>0.20750395283726294</v>
      </c>
      <c r="EO24" s="2">
        <v>40831</v>
      </c>
      <c r="EP24" s="193">
        <v>43205</v>
      </c>
      <c r="ES24">
        <v>25.83</v>
      </c>
    </row>
    <row r="25" spans="2:163" ht="16" customHeight="1">
      <c r="B25" s="153" t="s">
        <v>37</v>
      </c>
      <c r="C25" s="297" t="s">
        <v>121</v>
      </c>
      <c r="D25" s="297">
        <f>1-'Paramètres libres'!BF6</f>
        <v>0.39637935950910275</v>
      </c>
      <c r="E25" s="297">
        <f>1-'Paramètres libres'!BF7</f>
        <v>0.41542803120999716</v>
      </c>
      <c r="F25" s="297">
        <f>1-'Paramètres libres'!BF8</f>
        <v>0.49765046718327932</v>
      </c>
      <c r="G25" s="297">
        <f>1-'Paramètres libres'!BF9</f>
        <v>0.52921954133048477</v>
      </c>
      <c r="H25" s="297">
        <f>1-'Paramètres libres'!BF10</f>
        <v>0.65081532324296698</v>
      </c>
      <c r="I25" s="297">
        <f>1-'Paramètres libres'!BF11</f>
        <v>0.73121308739562751</v>
      </c>
      <c r="J25" s="297">
        <f>1-'Paramètres libres'!BF12</f>
        <v>0.78455129248541799</v>
      </c>
      <c r="K25" s="297">
        <f>1-'Paramètres libres'!BF13</f>
        <v>0.75112537656379341</v>
      </c>
      <c r="L25" s="297">
        <f>1-'Paramètres libres'!BF14</f>
        <v>0.70066491185305146</v>
      </c>
      <c r="M25" s="297">
        <f>1-'Paramètres libres'!BF15</f>
        <v>0.6689711582295691</v>
      </c>
      <c r="N25" s="297">
        <f>1-'Paramètres libres'!BF16</f>
        <v>0.63020078776056976</v>
      </c>
      <c r="O25" s="297">
        <f>1-'Paramètres libres'!BF17</f>
        <v>0.60371827901019159</v>
      </c>
      <c r="P25" s="297">
        <f>1-'Paramètres libres'!BF18</f>
        <v>0.57163167812269144</v>
      </c>
      <c r="Q25" s="297">
        <f>1-'Paramètres libres'!BF19</f>
        <v>0.55763789267006758</v>
      </c>
      <c r="R25" s="297">
        <f>1-'Paramètres libres'!BF20</f>
        <v>0.55894312923756839</v>
      </c>
      <c r="S25" s="297">
        <f>1-'Paramètres libres'!BF21</f>
        <v>0.56064996971063963</v>
      </c>
      <c r="T25" s="297">
        <f>1-'Paramètres libres'!BF22</f>
        <v>0.60371827901019159</v>
      </c>
      <c r="U25" s="297">
        <f>1-'Paramètres libres'!BF23</f>
        <v>0.99991667361053249</v>
      </c>
      <c r="V25" s="297" t="e">
        <f>1-'Paramètres libres'!BF24</f>
        <v>#VALUE!</v>
      </c>
      <c r="W25" s="297" t="e">
        <f>1-'Paramètres libres'!BF25</f>
        <v>#VALUE!</v>
      </c>
      <c r="X25" s="297" t="e">
        <f>1-'Paramètres libres'!BF26</f>
        <v>#VALUE!</v>
      </c>
      <c r="Y25" s="297" t="e">
        <f>1-'Paramètres libres'!BF27</f>
        <v>#VALUE!</v>
      </c>
      <c r="Z25" s="297" t="e">
        <f>1-'Paramètres libres'!BF28</f>
        <v>#VALUE!</v>
      </c>
      <c r="AA25" s="298" t="e">
        <f>1-'Paramètres libres'!BF29</f>
        <v>#VALUE!</v>
      </c>
      <c r="AB25" s="461"/>
      <c r="AC25" s="461"/>
      <c r="AE25" s="219"/>
      <c r="AF25" s="219"/>
      <c r="AG25" s="445" t="s">
        <v>122</v>
      </c>
      <c r="AH25" s="445"/>
      <c r="AI25" s="445"/>
      <c r="AJ25" s="445"/>
      <c r="AK25" s="445"/>
      <c r="AL25" s="445"/>
      <c r="AM25" s="445"/>
      <c r="AN25" s="445"/>
      <c r="AO25" s="445"/>
      <c r="AP25" s="445"/>
      <c r="AQ25" s="445"/>
      <c r="AR25" s="445"/>
      <c r="AS25" s="445"/>
      <c r="AT25" s="445"/>
      <c r="AU25" s="445"/>
      <c r="AV25" s="446"/>
      <c r="AW25" s="447">
        <f>LN(BA22/BA12)/(AZ22-AZ12)</f>
        <v>2.5821933470801573E-2</v>
      </c>
      <c r="AX25" s="447"/>
      <c r="AZ25" s="288">
        <f t="shared" si="35"/>
        <v>40848</v>
      </c>
      <c r="BA25" s="48" t="str">
        <f t="shared" si="0"/>
        <v/>
      </c>
      <c r="BB25" s="222" t="str">
        <f t="shared" si="36"/>
        <v/>
      </c>
      <c r="BC25" s="173" t="str">
        <f t="shared" si="1"/>
        <v/>
      </c>
      <c r="BD25" s="99" t="str">
        <f t="shared" si="37"/>
        <v/>
      </c>
      <c r="BE25" s="4" t="str">
        <f t="shared" si="2"/>
        <v/>
      </c>
      <c r="BF25" s="3" t="str">
        <f t="shared" si="3"/>
        <v/>
      </c>
      <c r="BG25" s="401"/>
      <c r="BH25" s="420"/>
      <c r="BI25" s="421"/>
      <c r="BJ25" s="421"/>
      <c r="BK25" s="421"/>
      <c r="BL25" s="422"/>
      <c r="BN25" s="392"/>
      <c r="BO25" s="158">
        <f t="shared" si="38"/>
        <v>40848</v>
      </c>
      <c r="BP25" s="373">
        <f>IF($AZ$32="d",'Profils de colonie'!I51,IF($AZ$32="n",'Profils de colonie'!I79,IF($AZ$32="p",'Profils de colonie'!I107,IF($AZ$32="a",'Profils de colonie'!I135,IF($AZ$32="b",'Profils de colonie'!I163,IF($AZ$32="c",'Profils de colonie'!I191,IF($AZ$32="r",'Profils de colonie'!I219,IF($AZ$32="s",'Profils de colonie'!I247,IF($AZ$32="f",'Profils de colonie'!I275,"erreur")))))))))</f>
        <v>9</v>
      </c>
      <c r="BQ25">
        <f t="shared" si="4"/>
        <v>18000</v>
      </c>
      <c r="BR25" s="68">
        <f>IF($AZ$32="d",'Profils de colonie'!G51,IF($AZ$32="n",'Profils de colonie'!G79,IF($AZ$32="p",'Profils de colonie'!G107,IF($AZ$32="a",'Profils de colonie'!G135,IF($AZ$32="b",'Profils de colonie'!G163,IF($AZ$32="c",'Profils de colonie'!G191,IF($AZ$32="r",'Profils de colonie'!G219,IF($AZ$32="s",'Profils de colonie'!G247,IF($AZ$32="f",'Profils de colonie'!G275,"erreur")))))))))</f>
        <v>0.25</v>
      </c>
      <c r="BS25" s="13">
        <f t="shared" si="5"/>
        <v>1125</v>
      </c>
      <c r="BT25" s="17">
        <f t="shared" si="6"/>
        <v>6.25E-2</v>
      </c>
      <c r="BU25">
        <f t="shared" si="39"/>
        <v>675</v>
      </c>
      <c r="BV25" s="14">
        <f t="shared" si="40"/>
        <v>674.99857709268372</v>
      </c>
      <c r="BW25" s="14">
        <f t="shared" si="7"/>
        <v>56.25</v>
      </c>
      <c r="BX25" s="89">
        <f t="shared" si="41"/>
        <v>18.862943611198908</v>
      </c>
      <c r="BY25" s="21">
        <f t="shared" si="8"/>
        <v>30.862943611198908</v>
      </c>
      <c r="BZ25" s="26">
        <f t="shared" si="9"/>
        <v>0.61118420358174497</v>
      </c>
      <c r="CA25" s="103">
        <f t="shared" si="10"/>
        <v>0.38881579641825503</v>
      </c>
      <c r="CB25" s="22">
        <f t="shared" si="11"/>
        <v>8822.0919052289537</v>
      </c>
      <c r="CC25" s="5">
        <f t="shared" si="12"/>
        <v>675</v>
      </c>
      <c r="CD25" s="67">
        <f>IF($AZ$32="d",'Profils de colonie'!K51,IF($AZ$32="n",'Profils de colonie'!K79,IF($AZ$32="p",'Profils de colonie'!K107,IF($AZ$32="a",'Profils de colonie'!K135,IF($AZ$32="b",'Profils de colonie'!K163,IF($AZ$32="c",'Profils de colonie'!K191,IF($AZ$32="r",'Profils de colonie'!K219,IF($AZ$32="s",'Profils de colonie'!K219,IF($AZ$32="f",'Profils de colonie'!K275,"erreur")))))))))</f>
        <v>0</v>
      </c>
      <c r="CE25" s="87">
        <f t="shared" si="42"/>
        <v>0</v>
      </c>
      <c r="CF25" s="63">
        <f t="shared" si="43"/>
        <v>0</v>
      </c>
      <c r="CG25" s="84">
        <f t="shared" si="44"/>
        <v>0</v>
      </c>
      <c r="CH25" s="60">
        <f t="shared" si="13"/>
        <v>0</v>
      </c>
      <c r="CI25" s="61">
        <f t="shared" si="45"/>
        <v>0</v>
      </c>
      <c r="CJ25" s="266">
        <f t="shared" si="14"/>
        <v>0</v>
      </c>
      <c r="CK25" s="267">
        <f t="shared" si="46"/>
        <v>0</v>
      </c>
      <c r="CL25" s="61">
        <f t="shared" si="15"/>
        <v>33.862943611198908</v>
      </c>
      <c r="CM25" s="265">
        <v>1</v>
      </c>
      <c r="CN25" s="71">
        <f t="shared" si="16"/>
        <v>4.2749999999999995</v>
      </c>
      <c r="CO25" s="65">
        <f t="shared" si="47"/>
        <v>9.8493837450082944E-2</v>
      </c>
      <c r="CP25" s="85">
        <f t="shared" si="48"/>
        <v>0.38881579641825503</v>
      </c>
      <c r="CQ25" s="59">
        <f t="shared" si="49"/>
        <v>675</v>
      </c>
      <c r="CR25" s="59">
        <f t="shared" si="17"/>
        <v>8822.0919052289537</v>
      </c>
      <c r="CS25" s="62">
        <f t="shared" si="18"/>
        <v>13.069765785524377</v>
      </c>
      <c r="CT25" s="263">
        <f t="shared" si="19"/>
        <v>0.99999789198916111</v>
      </c>
      <c r="CU25" s="265">
        <f t="shared" si="50"/>
        <v>13.069780266982574</v>
      </c>
      <c r="CV25" s="64">
        <f t="shared" si="20"/>
        <v>1</v>
      </c>
      <c r="CW25" s="62">
        <f t="shared" si="21"/>
        <v>30.862943611198908</v>
      </c>
      <c r="CX25" s="264">
        <v>1</v>
      </c>
      <c r="CY25" s="70">
        <f t="shared" si="51"/>
        <v>2.2586249999999999</v>
      </c>
      <c r="CZ25" s="66">
        <f t="shared" si="22"/>
        <v>0</v>
      </c>
      <c r="DA25" s="91">
        <f t="shared" si="23"/>
        <v>0</v>
      </c>
      <c r="DB25" s="23">
        <f t="shared" si="24"/>
        <v>-5.0125418235442863E-3</v>
      </c>
      <c r="DC25" s="28">
        <f t="shared" si="25"/>
        <v>-5.0125418235442863E-3</v>
      </c>
      <c r="DD25" s="28"/>
      <c r="DE25" s="270">
        <f t="shared" si="69"/>
        <v>22689.643750324631</v>
      </c>
      <c r="DF25" s="178">
        <f t="shared" si="26"/>
        <v>15882.75062522724</v>
      </c>
      <c r="DG25" s="177">
        <f t="shared" si="52"/>
        <v>15882.75062522724</v>
      </c>
      <c r="DH25" s="116">
        <f t="shared" si="70"/>
        <v>0</v>
      </c>
      <c r="DI25" s="13">
        <f t="shared" si="54"/>
        <v>22689.643750324631</v>
      </c>
      <c r="DJ25" s="199">
        <f t="shared" si="55"/>
        <v>1665.400948388713</v>
      </c>
      <c r="DK25" s="107">
        <f t="shared" si="27"/>
        <v>21024.242801935918</v>
      </c>
      <c r="DL25" s="182">
        <f>'Immigration de varroas'!E32</f>
        <v>0</v>
      </c>
      <c r="DM25" s="109">
        <f t="shared" si="56"/>
        <v>-5808.8430059469774</v>
      </c>
      <c r="DN25" s="82">
        <f t="shared" si="64"/>
        <v>-5808.8430059469774</v>
      </c>
      <c r="DO25" s="198">
        <f t="shared" si="28"/>
        <v>15215.39979598894</v>
      </c>
      <c r="DP25" s="278">
        <f>FD$33</f>
        <v>0</v>
      </c>
      <c r="DQ25" s="107">
        <f t="shared" si="57"/>
        <v>0</v>
      </c>
      <c r="DR25" s="79">
        <f t="shared" si="29"/>
        <v>15215.39979598894</v>
      </c>
      <c r="DS25" s="23">
        <f t="shared" si="30"/>
        <v>-2.6275103900900189E-2</v>
      </c>
      <c r="DT25" s="158">
        <f t="shared" si="31"/>
        <v>40848</v>
      </c>
      <c r="DU25" s="74">
        <f t="shared" si="32"/>
        <v>13867.551845095677</v>
      </c>
      <c r="DV25" s="23">
        <f t="shared" si="33"/>
        <v>0.77041954694975978</v>
      </c>
      <c r="DW25" s="114">
        <f t="shared" si="34"/>
        <v>242.68215728917434</v>
      </c>
      <c r="DX25" s="179">
        <f t="shared" si="66"/>
        <v>100</v>
      </c>
      <c r="DY25" s="179" t="str">
        <f t="shared" si="67"/>
        <v/>
      </c>
      <c r="DZ25" s="179">
        <f t="shared" si="71"/>
        <v>0</v>
      </c>
      <c r="EA25">
        <f t="shared" si="68"/>
        <v>100</v>
      </c>
      <c r="EB25" s="13">
        <f t="shared" si="58"/>
        <v>1539.84375</v>
      </c>
      <c r="EC25" s="14">
        <f t="shared" si="59"/>
        <v>-6000</v>
      </c>
      <c r="ED25" s="13">
        <f t="shared" si="60"/>
        <v>7539.84375</v>
      </c>
      <c r="EE25" s="13">
        <f t="shared" si="65"/>
        <v>495.77054794520546</v>
      </c>
      <c r="EF25" s="17">
        <f t="shared" si="61"/>
        <v>1</v>
      </c>
      <c r="EG25" s="197">
        <f t="shared" si="62"/>
        <v>5808.8430059469774</v>
      </c>
      <c r="EI25" s="13">
        <f t="shared" si="63"/>
        <v>0</v>
      </c>
      <c r="EJ25" s="131">
        <f>FD$58</f>
        <v>9653.3465583489233</v>
      </c>
      <c r="EK25" s="31">
        <f>FC$60</f>
        <v>0.31096579209072478</v>
      </c>
      <c r="EO25" s="2">
        <v>40848</v>
      </c>
      <c r="EP25" s="193">
        <v>43221</v>
      </c>
    </row>
    <row r="26" spans="2:163" ht="16.19" customHeight="1">
      <c r="B26" s="289"/>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s="289"/>
      <c r="AB26" s="289"/>
      <c r="AC26" s="289"/>
      <c r="AE26" s="219"/>
      <c r="AF26" s="219"/>
      <c r="AG26" s="448" t="s">
        <v>123</v>
      </c>
      <c r="AH26" s="448"/>
      <c r="AI26" s="448"/>
      <c r="AJ26" s="448"/>
      <c r="AK26" s="448"/>
      <c r="AL26" s="448"/>
      <c r="AM26" s="448"/>
      <c r="AN26" s="448"/>
      <c r="AO26" s="448"/>
      <c r="AP26" s="448"/>
      <c r="AQ26" s="448"/>
      <c r="AR26" s="448"/>
      <c r="AS26" s="448"/>
      <c r="AT26" s="448"/>
      <c r="AU26" s="448"/>
      <c r="AV26" s="449"/>
      <c r="AW26" s="450" t="s">
        <v>124</v>
      </c>
      <c r="AX26" s="451"/>
      <c r="AZ26" s="288">
        <f t="shared" si="35"/>
        <v>40862</v>
      </c>
      <c r="BA26" s="48" t="str">
        <f t="shared" si="0"/>
        <v/>
      </c>
      <c r="BB26" s="222" t="str">
        <f t="shared" si="36"/>
        <v/>
      </c>
      <c r="BC26" s="173" t="str">
        <f t="shared" si="1"/>
        <v/>
      </c>
      <c r="BD26" s="99" t="str">
        <f t="shared" si="37"/>
        <v/>
      </c>
      <c r="BE26" s="4" t="str">
        <f t="shared" si="2"/>
        <v/>
      </c>
      <c r="BF26" s="3" t="str">
        <f t="shared" si="3"/>
        <v/>
      </c>
      <c r="BG26" s="381" t="s">
        <v>125</v>
      </c>
      <c r="BH26" s="423" t="s">
        <v>126</v>
      </c>
      <c r="BI26" s="424"/>
      <c r="BJ26" s="424"/>
      <c r="BK26" s="424"/>
      <c r="BL26" s="425"/>
      <c r="BN26" s="392"/>
      <c r="BO26" s="158">
        <f t="shared" si="38"/>
        <v>40862</v>
      </c>
      <c r="BP26" s="373">
        <f>IF($AZ$32="d",'Profils de colonie'!I52,IF($AZ$32="n",'Profils de colonie'!I80,IF($AZ$32="p",'Profils de colonie'!I108,IF($AZ$32="a",'Profils de colonie'!I136,IF($AZ$32="b",'Profils de colonie'!I164,IF($AZ$32="c",'Profils de colonie'!I192,IF($AZ$32="r",'Profils de colonie'!I220,IF($AZ$32="s",'Profils de colonie'!I248,IF($AZ$32="f",'Profils de colonie'!I276,"erreur")))))))))</f>
        <v>8.5</v>
      </c>
      <c r="BQ26">
        <f t="shared" si="4"/>
        <v>17000</v>
      </c>
      <c r="BR26" s="68">
        <f>IF($AZ$32="d",'Profils de colonie'!G52,IF($AZ$32="n",'Profils de colonie'!G80,IF($AZ$32="p",'Profils de colonie'!G108,IF($AZ$32="a",'Profils de colonie'!G136,IF($AZ$32="b",'Profils de colonie'!G164,IF($AZ$32="c",'Profils de colonie'!G192,IF($AZ$32="r",'Profils de colonie'!G220,IF($AZ$32="s",'Profils de colonie'!G248,IF($AZ$32="f",'Profils de colonie'!G276,"erreur")))))))))</f>
        <v>0.125</v>
      </c>
      <c r="BS26" s="13">
        <f t="shared" si="5"/>
        <v>562.5</v>
      </c>
      <c r="BT26" s="17">
        <f t="shared" si="6"/>
        <v>3.3088235294117647E-2</v>
      </c>
      <c r="BU26">
        <f t="shared" si="39"/>
        <v>337.5</v>
      </c>
      <c r="BV26" s="14">
        <f t="shared" si="40"/>
        <v>337.49995766592514</v>
      </c>
      <c r="BW26" s="14">
        <f t="shared" si="7"/>
        <v>28.125</v>
      </c>
      <c r="BX26" s="89">
        <f t="shared" si="41"/>
        <v>22.04288744479889</v>
      </c>
      <c r="BY26" s="21">
        <f t="shared" si="8"/>
        <v>34.042887444798893</v>
      </c>
      <c r="BZ26" s="26">
        <f t="shared" si="9"/>
        <v>0.6475034610545829</v>
      </c>
      <c r="CA26" s="103">
        <f t="shared" si="10"/>
        <v>0.3524965389454171</v>
      </c>
      <c r="CB26" s="22">
        <f t="shared" si="11"/>
        <v>5363.3757667569071</v>
      </c>
      <c r="CC26" s="5">
        <f t="shared" si="12"/>
        <v>337.5</v>
      </c>
      <c r="CD26" s="67">
        <f>IF($AZ$32="d",'Profils de colonie'!K52,IF($AZ$32="n",'Profils de colonie'!K80,IF($AZ$32="p",'Profils de colonie'!K108,IF($AZ$32="a",'Profils de colonie'!K136,IF($AZ$32="b",'Profils de colonie'!K164,IF($AZ$32="c",'Profils de colonie'!K192,IF($AZ$32="r",'Profils de colonie'!K220,IF($AZ$32="s",'Profils de colonie'!K220,IF($AZ$32="f",'Profils de colonie'!K276,"erreur")))))))))</f>
        <v>0</v>
      </c>
      <c r="CE26" s="87">
        <f t="shared" si="42"/>
        <v>0</v>
      </c>
      <c r="CF26" s="63">
        <f t="shared" si="43"/>
        <v>0</v>
      </c>
      <c r="CG26" s="84">
        <f t="shared" si="44"/>
        <v>0</v>
      </c>
      <c r="CH26" s="60">
        <f t="shared" si="13"/>
        <v>0</v>
      </c>
      <c r="CI26" s="61">
        <f t="shared" si="45"/>
        <v>0</v>
      </c>
      <c r="CJ26" s="266">
        <f t="shared" si="14"/>
        <v>0</v>
      </c>
      <c r="CK26" s="267">
        <f t="shared" si="46"/>
        <v>0</v>
      </c>
      <c r="CL26" s="61">
        <f t="shared" si="15"/>
        <v>37.042887444798893</v>
      </c>
      <c r="CM26" s="265">
        <v>1</v>
      </c>
      <c r="CN26" s="71">
        <f t="shared" si="16"/>
        <v>4.2749999999999995</v>
      </c>
      <c r="CO26" s="65">
        <f t="shared" si="47"/>
        <v>9.8493837450082944E-2</v>
      </c>
      <c r="CP26" s="85">
        <f t="shared" si="48"/>
        <v>0.3524965389454171</v>
      </c>
      <c r="CQ26" s="59">
        <f t="shared" si="49"/>
        <v>337.5</v>
      </c>
      <c r="CR26" s="59">
        <f t="shared" si="17"/>
        <v>5363.3757667569071</v>
      </c>
      <c r="CS26" s="62">
        <f t="shared" si="18"/>
        <v>15.891483753353798</v>
      </c>
      <c r="CT26" s="263">
        <f t="shared" si="19"/>
        <v>0.99999987456570405</v>
      </c>
      <c r="CU26" s="265">
        <f t="shared" si="50"/>
        <v>15.891469855219276</v>
      </c>
      <c r="CV26" s="64">
        <f t="shared" si="20"/>
        <v>1</v>
      </c>
      <c r="CW26" s="62">
        <f t="shared" si="21"/>
        <v>34.042887444798893</v>
      </c>
      <c r="CX26" s="264">
        <v>1</v>
      </c>
      <c r="CY26" s="70">
        <f t="shared" si="51"/>
        <v>2.2586249999999999</v>
      </c>
      <c r="CZ26" s="66">
        <f t="shared" si="22"/>
        <v>0</v>
      </c>
      <c r="DA26" s="91">
        <f t="shared" si="23"/>
        <v>0</v>
      </c>
      <c r="DB26" s="23">
        <f t="shared" si="24"/>
        <v>-5.0125418235442863E-3</v>
      </c>
      <c r="DC26" s="28">
        <f t="shared" si="25"/>
        <v>-5.0125418235442863E-3</v>
      </c>
      <c r="DD26" s="28"/>
      <c r="DE26" s="270">
        <f t="shared" si="69"/>
        <v>15215.39979598894</v>
      </c>
      <c r="DF26" s="178">
        <f t="shared" si="26"/>
        <v>10650.779857192258</v>
      </c>
      <c r="DG26" s="177">
        <f t="shared" si="52"/>
        <v>10650.779857192258</v>
      </c>
      <c r="DH26" s="116">
        <f t="shared" si="70"/>
        <v>0</v>
      </c>
      <c r="DI26" s="13">
        <f t="shared" si="54"/>
        <v>15215.39979598894</v>
      </c>
      <c r="DJ26" s="199">
        <f t="shared" si="55"/>
        <v>1116.7976689801853</v>
      </c>
      <c r="DK26" s="107">
        <f t="shared" si="27"/>
        <v>14098.602127008755</v>
      </c>
      <c r="DL26" s="182">
        <f>'Immigration de varroas'!E33</f>
        <v>0</v>
      </c>
      <c r="DM26" s="109">
        <f t="shared" si="56"/>
        <v>-1025.7242848449068</v>
      </c>
      <c r="DN26" s="82">
        <f t="shared" si="64"/>
        <v>-1025.7242848449068</v>
      </c>
      <c r="DO26" s="198">
        <f t="shared" si="28"/>
        <v>13072.877842163849</v>
      </c>
      <c r="DP26" s="278">
        <f>FE$33</f>
        <v>0</v>
      </c>
      <c r="DQ26" s="107">
        <f t="shared" si="57"/>
        <v>0</v>
      </c>
      <c r="DR26" s="79">
        <f t="shared" si="29"/>
        <v>13072.877842163849</v>
      </c>
      <c r="DS26" s="23">
        <f t="shared" si="30"/>
        <v>-9.9792900289001028E-3</v>
      </c>
      <c r="DT26" s="158">
        <f t="shared" si="31"/>
        <v>40862</v>
      </c>
      <c r="DU26" s="74">
        <f t="shared" si="32"/>
        <v>9852.0240292320341</v>
      </c>
      <c r="DV26" s="23">
        <f t="shared" si="33"/>
        <v>0.57953082524894317</v>
      </c>
      <c r="DW26" s="114">
        <f t="shared" si="34"/>
        <v>182.5522099534171</v>
      </c>
      <c r="DX26" s="179">
        <f t="shared" si="66"/>
        <v>100</v>
      </c>
      <c r="DY26" s="179" t="str">
        <f t="shared" si="67"/>
        <v/>
      </c>
      <c r="DZ26" s="179">
        <f t="shared" si="71"/>
        <v>0</v>
      </c>
      <c r="EA26">
        <f t="shared" si="68"/>
        <v>100</v>
      </c>
      <c r="EB26" s="13">
        <f t="shared" si="58"/>
        <v>769.921875</v>
      </c>
      <c r="EC26" s="14">
        <f t="shared" si="59"/>
        <v>-1000</v>
      </c>
      <c r="ED26" s="13">
        <f t="shared" si="60"/>
        <v>1769.921875</v>
      </c>
      <c r="EE26" s="13">
        <f t="shared" si="65"/>
        <v>116.37842465753424</v>
      </c>
      <c r="EF26" s="17">
        <f t="shared" si="61"/>
        <v>1</v>
      </c>
      <c r="EG26" s="197">
        <f t="shared" si="62"/>
        <v>1025.7242848449068</v>
      </c>
      <c r="EI26" s="13">
        <f t="shared" si="63"/>
        <v>0</v>
      </c>
      <c r="EJ26" s="131">
        <f>FE$58</f>
        <v>12997.51957806236</v>
      </c>
      <c r="EK26" s="31">
        <f>FD$60</f>
        <v>0.4648925206328981</v>
      </c>
      <c r="EO26" s="2">
        <v>40862</v>
      </c>
      <c r="EP26" s="193">
        <v>43235</v>
      </c>
      <c r="ES26">
        <v>17.954999999999998</v>
      </c>
    </row>
    <row r="27" spans="2:163" ht="16.19" customHeight="1">
      <c r="B27" s="289"/>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F27" s="299"/>
      <c r="AG27" s="6"/>
      <c r="AU27" s="374"/>
      <c r="AZ27" s="288">
        <f t="shared" si="35"/>
        <v>40878</v>
      </c>
      <c r="BA27" s="48" t="str">
        <f t="shared" si="0"/>
        <v/>
      </c>
      <c r="BB27" s="222" t="str">
        <f t="shared" si="36"/>
        <v/>
      </c>
      <c r="BC27" s="173" t="str">
        <f t="shared" si="1"/>
        <v/>
      </c>
      <c r="BD27" s="99" t="str">
        <f t="shared" si="37"/>
        <v/>
      </c>
      <c r="BE27" s="4" t="str">
        <f t="shared" si="2"/>
        <v/>
      </c>
      <c r="BF27" s="3" t="str">
        <f t="shared" si="3"/>
        <v/>
      </c>
      <c r="BG27" s="380"/>
      <c r="BH27" s="426"/>
      <c r="BI27" s="427"/>
      <c r="BJ27" s="427"/>
      <c r="BK27" s="427"/>
      <c r="BL27" s="428"/>
      <c r="BN27" s="392"/>
      <c r="BO27" s="158">
        <f t="shared" si="38"/>
        <v>40878</v>
      </c>
      <c r="BP27" s="373">
        <f>IF($AZ$32="d",'Profils de colonie'!I53,IF($AZ$32="n",'Profils de colonie'!I81,IF($AZ$32="p",'Profils de colonie'!I109,IF($AZ$32="a",'Profils de colonie'!I137,IF($AZ$32="b",'Profils de colonie'!I165,IF($AZ$32="c",'Profils de colonie'!I193,IF($AZ$32="r",'Profils de colonie'!I221,IF($AZ$32="s",'Profils de colonie'!I249,IF($AZ$32="f",'Profils de colonie'!I277,"erreur")))))))))</f>
        <v>8.25</v>
      </c>
      <c r="BQ27">
        <f t="shared" si="4"/>
        <v>16500</v>
      </c>
      <c r="BR27" s="68">
        <f>IF($AZ$32="d",'Profils de colonie'!G53,IF($AZ$32="n",'Profils de colonie'!G81,IF($AZ$32="p",'Profils de colonie'!G109,IF($AZ$32="a",'Profils de colonie'!G137,IF($AZ$32="b",'Profils de colonie'!G165,IF($AZ$32="c",'Profils de colonie'!G193,IF($AZ$32="r",'Profils de colonie'!G221,IF($AZ$32="s",'Profils de colonie'!G249,IF($AZ$32="f",'Profils de colonie'!G277,"erreur")))))))))</f>
        <v>0.1</v>
      </c>
      <c r="BS27" s="13">
        <f t="shared" si="5"/>
        <v>450</v>
      </c>
      <c r="BT27" s="17">
        <f t="shared" si="6"/>
        <v>2.7272727272727271E-2</v>
      </c>
      <c r="BU27">
        <f t="shared" si="39"/>
        <v>270</v>
      </c>
      <c r="BV27" s="14">
        <f t="shared" si="40"/>
        <v>269.99998325865056</v>
      </c>
      <c r="BW27" s="14">
        <f t="shared" si="7"/>
        <v>22.5</v>
      </c>
      <c r="BX27" s="89">
        <f t="shared" si="41"/>
        <v>23.009340385621535</v>
      </c>
      <c r="BY27" s="21">
        <f t="shared" si="8"/>
        <v>35.009340385621535</v>
      </c>
      <c r="BZ27" s="26">
        <f t="shared" si="9"/>
        <v>0.65723433038662893</v>
      </c>
      <c r="CA27" s="103">
        <f t="shared" si="10"/>
        <v>0.34276566961337107</v>
      </c>
      <c r="CB27" s="22">
        <f t="shared" si="11"/>
        <v>4480.9337273430929</v>
      </c>
      <c r="CC27" s="5">
        <f t="shared" si="12"/>
        <v>270</v>
      </c>
      <c r="CD27" s="67">
        <f>IF($AZ$32="d",'Profils de colonie'!K53,IF($AZ$32="n",'Profils de colonie'!K81,IF($AZ$32="p",'Profils de colonie'!K109,IF($AZ$32="a",'Profils de colonie'!K137,IF($AZ$32="b",'Profils de colonie'!K165,IF($AZ$32="c",'Profils de colonie'!K193,IF($AZ$32="r",'Profils de colonie'!K221,IF($AZ$32="s",'Profils de colonie'!K221,IF($AZ$32="f",'Profils de colonie'!K277,"erreur")))))))))</f>
        <v>0</v>
      </c>
      <c r="CE27" s="87">
        <f t="shared" si="42"/>
        <v>0</v>
      </c>
      <c r="CF27" s="63">
        <f t="shared" si="43"/>
        <v>0</v>
      </c>
      <c r="CG27" s="84">
        <f t="shared" si="44"/>
        <v>0</v>
      </c>
      <c r="CH27" s="60">
        <f t="shared" si="13"/>
        <v>0</v>
      </c>
      <c r="CI27" s="61">
        <f t="shared" si="45"/>
        <v>0</v>
      </c>
      <c r="CJ27" s="266">
        <f t="shared" si="14"/>
        <v>0</v>
      </c>
      <c r="CK27" s="267">
        <f t="shared" si="46"/>
        <v>0</v>
      </c>
      <c r="CL27" s="61">
        <f t="shared" si="15"/>
        <v>38.009340385621535</v>
      </c>
      <c r="CM27" s="265">
        <v>1</v>
      </c>
      <c r="CN27" s="71">
        <f t="shared" si="16"/>
        <v>4.2749999999999995</v>
      </c>
      <c r="CO27" s="65">
        <f t="shared" si="47"/>
        <v>9.8493837450082944E-2</v>
      </c>
      <c r="CP27" s="85">
        <f t="shared" si="48"/>
        <v>0.34276566961337107</v>
      </c>
      <c r="CQ27" s="59">
        <f t="shared" si="49"/>
        <v>270</v>
      </c>
      <c r="CR27" s="59">
        <f t="shared" si="17"/>
        <v>4480.9337273430929</v>
      </c>
      <c r="CS27" s="62">
        <f t="shared" si="18"/>
        <v>16.596050842011454</v>
      </c>
      <c r="CT27" s="263">
        <f t="shared" si="19"/>
        <v>0.99999993799500198</v>
      </c>
      <c r="CU27" s="265">
        <f t="shared" si="50"/>
        <v>16.596035275013314</v>
      </c>
      <c r="CV27" s="64">
        <f t="shared" si="20"/>
        <v>1</v>
      </c>
      <c r="CW27" s="62">
        <f t="shared" si="21"/>
        <v>35.009340385621535</v>
      </c>
      <c r="CX27" s="264">
        <v>1</v>
      </c>
      <c r="CY27" s="70">
        <f t="shared" si="51"/>
        <v>2.2586249999999999</v>
      </c>
      <c r="CZ27" s="66">
        <f t="shared" si="22"/>
        <v>0</v>
      </c>
      <c r="DA27" s="91">
        <f t="shared" si="23"/>
        <v>0</v>
      </c>
      <c r="DB27" s="23">
        <f t="shared" si="24"/>
        <v>-5.0125418235442863E-3</v>
      </c>
      <c r="DC27" s="28">
        <f t="shared" si="25"/>
        <v>-5.0125418235442863E-3</v>
      </c>
      <c r="DD27" s="28"/>
      <c r="DE27" s="270">
        <f t="shared" si="69"/>
        <v>13072.877842163849</v>
      </c>
      <c r="DF27" s="178">
        <f t="shared" si="26"/>
        <v>9151.0144895146932</v>
      </c>
      <c r="DG27" s="177">
        <f t="shared" si="52"/>
        <v>9151.0144895146932</v>
      </c>
      <c r="DH27" s="116">
        <f t="shared" si="70"/>
        <v>0</v>
      </c>
      <c r="DI27" s="13">
        <f t="shared" si="54"/>
        <v>13072.877842163849</v>
      </c>
      <c r="DJ27" s="199">
        <f t="shared" si="55"/>
        <v>959.53834251795888</v>
      </c>
      <c r="DK27" s="107">
        <f t="shared" si="27"/>
        <v>12113.33949964589</v>
      </c>
      <c r="DL27" s="182">
        <f>'Immigration de varroas'!E34</f>
        <v>0</v>
      </c>
      <c r="DM27" s="109">
        <f t="shared" si="56"/>
        <v>-460.82029810905357</v>
      </c>
      <c r="DN27" s="82">
        <f t="shared" si="64"/>
        <v>-460.82029810905357</v>
      </c>
      <c r="DO27" s="198">
        <f t="shared" si="28"/>
        <v>11652.519201536836</v>
      </c>
      <c r="DP27" s="278">
        <f>FF$33</f>
        <v>0</v>
      </c>
      <c r="DQ27" s="107">
        <f t="shared" si="57"/>
        <v>0</v>
      </c>
      <c r="DR27" s="79">
        <f t="shared" si="29"/>
        <v>11652.519201536836</v>
      </c>
      <c r="DS27" s="23">
        <f t="shared" si="30"/>
        <v>-7.5627809188483462E-3</v>
      </c>
      <c r="DT27" s="158">
        <f t="shared" si="31"/>
        <v>40878</v>
      </c>
      <c r="DU27" s="74">
        <f t="shared" si="32"/>
        <v>8591.9441148207552</v>
      </c>
      <c r="DV27" s="23">
        <f t="shared" si="33"/>
        <v>0.52072388574671247</v>
      </c>
      <c r="DW27" s="114">
        <f t="shared" si="34"/>
        <v>164.02802401021444</v>
      </c>
      <c r="DX27" s="179">
        <f t="shared" si="66"/>
        <v>100</v>
      </c>
      <c r="DY27" s="179" t="str">
        <f t="shared" si="67"/>
        <v/>
      </c>
      <c r="DZ27" s="179">
        <f t="shared" si="71"/>
        <v>0</v>
      </c>
      <c r="EA27">
        <f t="shared" si="68"/>
        <v>100</v>
      </c>
      <c r="EB27" s="13">
        <f t="shared" si="58"/>
        <v>384.9609375</v>
      </c>
      <c r="EC27" s="14">
        <f t="shared" si="59"/>
        <v>-500</v>
      </c>
      <c r="ED27" s="13">
        <f t="shared" si="60"/>
        <v>884.9609375</v>
      </c>
      <c r="EE27" s="13">
        <f t="shared" si="65"/>
        <v>58.18921232876712</v>
      </c>
      <c r="EF27" s="17">
        <f t="shared" si="61"/>
        <v>1</v>
      </c>
      <c r="EG27" s="197">
        <f t="shared" si="62"/>
        <v>460.82029810905357</v>
      </c>
      <c r="EI27" s="13">
        <f t="shared" si="63"/>
        <v>0</v>
      </c>
      <c r="EJ27" s="131">
        <f>FF$58</f>
        <v>17865.60636977003</v>
      </c>
      <c r="EK27" s="31">
        <f>FE$60</f>
        <v>0.67482153041383264</v>
      </c>
      <c r="EO27" s="2">
        <v>40878</v>
      </c>
      <c r="EP27" s="193">
        <v>43252</v>
      </c>
    </row>
    <row r="28" spans="2:163" ht="16.19" customHeight="1">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F28" s="299"/>
      <c r="AX28" s="180"/>
      <c r="AZ28" s="288">
        <f t="shared" si="35"/>
        <v>40892</v>
      </c>
      <c r="BA28" s="48" t="str">
        <f t="shared" si="0"/>
        <v/>
      </c>
      <c r="BB28" s="222" t="str">
        <f t="shared" si="36"/>
        <v/>
      </c>
      <c r="BC28" s="173" t="str">
        <f t="shared" si="1"/>
        <v/>
      </c>
      <c r="BD28" s="99" t="str">
        <f t="shared" si="37"/>
        <v/>
      </c>
      <c r="BE28" s="4" t="str">
        <f t="shared" si="2"/>
        <v/>
      </c>
      <c r="BF28" s="3" t="str">
        <f t="shared" si="3"/>
        <v/>
      </c>
      <c r="BL28" s="31"/>
      <c r="BN28" s="392"/>
      <c r="BO28" s="158">
        <f t="shared" si="38"/>
        <v>40892</v>
      </c>
      <c r="BP28" s="373">
        <f>IF($AZ$32="d",'Profils de colonie'!I54,IF($AZ$32="n",'Profils de colonie'!I82,IF($AZ$32="p",'Profils de colonie'!I110,IF($AZ$32="a",'Profils de colonie'!I138,IF($AZ$32="b",'Profils de colonie'!I166,IF($AZ$32="c",'Profils de colonie'!I194,IF($AZ$32="r",'Profils de colonie'!I222,IF($AZ$32="s",'Profils de colonie'!I250,IF($AZ$32="f",'Profils de colonie'!I278,"erreur")))))))))</f>
        <v>8</v>
      </c>
      <c r="BQ28">
        <f t="shared" si="4"/>
        <v>16000</v>
      </c>
      <c r="BR28" s="68">
        <f>IF($AZ$32="d",'Profils de colonie'!G54,IF($AZ$32="n",'Profils de colonie'!G82,IF($AZ$32="p",'Profils de colonie'!G110,IF($AZ$32="a",'Profils de colonie'!G138,IF($AZ$32="b",'Profils de colonie'!G166,IF($AZ$32="c",'Profils de colonie'!G194,IF($AZ$32="r",'Profils de colonie'!G222,IF($AZ$32="s",'Profils de colonie'!G250,IF($AZ$32="f",'Profils de colonie'!G278,"erreur")))))))))</f>
        <v>0</v>
      </c>
      <c r="BS28" s="13">
        <f t="shared" si="5"/>
        <v>1</v>
      </c>
      <c r="BT28" s="17">
        <f t="shared" si="6"/>
        <v>6.2500000000000001E-5</v>
      </c>
      <c r="BU28">
        <f t="shared" si="39"/>
        <v>0.6</v>
      </c>
      <c r="BV28" s="14">
        <f t="shared" si="40"/>
        <v>0</v>
      </c>
      <c r="BW28" s="14">
        <f t="shared" si="7"/>
        <v>0.05</v>
      </c>
      <c r="BX28" s="89">
        <f t="shared" si="41"/>
        <v>53.401720006109592</v>
      </c>
      <c r="BY28" s="21">
        <f t="shared" si="8"/>
        <v>65.401720006109599</v>
      </c>
      <c r="BZ28" s="26">
        <f t="shared" si="9"/>
        <v>1</v>
      </c>
      <c r="CA28" s="103">
        <f t="shared" si="10"/>
        <v>0</v>
      </c>
      <c r="CB28" s="22">
        <f t="shared" si="11"/>
        <v>0</v>
      </c>
      <c r="CC28" s="5">
        <f t="shared" si="12"/>
        <v>0.6</v>
      </c>
      <c r="CD28" s="67">
        <f>IF($AZ$32="d",'Profils de colonie'!K54,IF($AZ$32="n",'Profils de colonie'!K82,IF($AZ$32="p",'Profils de colonie'!K110,IF($AZ$32="a",'Profils de colonie'!K138,IF($AZ$32="b",'Profils de colonie'!K166,IF($AZ$32="c",'Profils de colonie'!K194,IF($AZ$32="r",'Profils de colonie'!K222,IF($AZ$32="s",'Profils de colonie'!K222,IF($AZ$32="f",'Profils de colonie'!K278,"erreur")))))))))</f>
        <v>0</v>
      </c>
      <c r="CE28" s="87">
        <f t="shared" si="42"/>
        <v>0</v>
      </c>
      <c r="CF28" s="63">
        <f t="shared" si="43"/>
        <v>0</v>
      </c>
      <c r="CG28" s="84">
        <f t="shared" si="44"/>
        <v>0</v>
      </c>
      <c r="CH28" s="60">
        <f t="shared" si="13"/>
        <v>0</v>
      </c>
      <c r="CI28" s="61">
        <f t="shared" si="45"/>
        <v>0</v>
      </c>
      <c r="CJ28" s="266">
        <f t="shared" si="14"/>
        <v>0</v>
      </c>
      <c r="CK28" s="267">
        <f t="shared" si="46"/>
        <v>0</v>
      </c>
      <c r="CL28" s="61">
        <f t="shared" si="15"/>
        <v>68.401720006109599</v>
      </c>
      <c r="CM28" s="265">
        <v>1</v>
      </c>
      <c r="CN28" s="71">
        <f t="shared" si="16"/>
        <v>4.2749999999999995</v>
      </c>
      <c r="CO28" s="65">
        <f t="shared" si="47"/>
        <v>9.8493837450082944E-2</v>
      </c>
      <c r="CP28" s="85">
        <f t="shared" si="48"/>
        <v>0</v>
      </c>
      <c r="CQ28" s="59">
        <f t="shared" si="49"/>
        <v>0.6</v>
      </c>
      <c r="CR28" s="59">
        <f t="shared" si="17"/>
        <v>0</v>
      </c>
      <c r="CS28" s="62">
        <f t="shared" si="18"/>
        <v>0</v>
      </c>
      <c r="CT28" s="263">
        <f t="shared" si="19"/>
        <v>0</v>
      </c>
      <c r="CU28" s="265">
        <f t="shared" si="50"/>
        <v>0</v>
      </c>
      <c r="CV28" s="64">
        <f t="shared" si="20"/>
        <v>1</v>
      </c>
      <c r="CW28" s="62">
        <f t="shared" si="21"/>
        <v>65.401720006109599</v>
      </c>
      <c r="CX28" s="264">
        <v>1</v>
      </c>
      <c r="CY28" s="70">
        <f t="shared" si="51"/>
        <v>2.2586249999999999</v>
      </c>
      <c r="CZ28" s="66">
        <f t="shared" si="22"/>
        <v>0</v>
      </c>
      <c r="DA28" s="91">
        <f t="shared" si="23"/>
        <v>0</v>
      </c>
      <c r="DB28" s="23">
        <f t="shared" si="24"/>
        <v>-5.0125418235442863E-3</v>
      </c>
      <c r="DC28" s="28">
        <f t="shared" si="25"/>
        <v>-5.0125418235442863E-3</v>
      </c>
      <c r="DD28" s="28"/>
      <c r="DE28" s="270">
        <f t="shared" si="69"/>
        <v>11652.519201536836</v>
      </c>
      <c r="DF28" s="178">
        <f t="shared" si="26"/>
        <v>8156.7634410757846</v>
      </c>
      <c r="DG28" s="177">
        <f t="shared" si="52"/>
        <v>8156.7634410757846</v>
      </c>
      <c r="DH28" s="116">
        <f t="shared" si="70"/>
        <v>0</v>
      </c>
      <c r="DI28" s="13">
        <f t="shared" si="54"/>
        <v>11652.519201536836</v>
      </c>
      <c r="DJ28" s="199">
        <f t="shared" si="55"/>
        <v>855.28520160566586</v>
      </c>
      <c r="DK28" s="107">
        <f t="shared" si="27"/>
        <v>10797.23399993117</v>
      </c>
      <c r="DL28" s="182">
        <f>'Immigration de varroas'!E35</f>
        <v>0</v>
      </c>
      <c r="DM28" s="109">
        <f t="shared" si="56"/>
        <v>-588.42946085104472</v>
      </c>
      <c r="DN28" s="82">
        <f t="shared" si="64"/>
        <v>-588.42946085104472</v>
      </c>
      <c r="DO28" s="198">
        <f t="shared" si="28"/>
        <v>10208.804539080125</v>
      </c>
      <c r="DP28" s="278">
        <f>FG$33</f>
        <v>0</v>
      </c>
      <c r="DQ28" s="107">
        <f t="shared" si="57"/>
        <v>0</v>
      </c>
      <c r="DR28" s="79">
        <f t="shared" si="29"/>
        <v>10208.804539080125</v>
      </c>
      <c r="DS28" s="23">
        <f t="shared" si="30"/>
        <v>-8.6973277182630596E-3</v>
      </c>
      <c r="DT28" s="158">
        <f t="shared" si="31"/>
        <v>40892</v>
      </c>
      <c r="DU28" s="74">
        <f t="shared" si="32"/>
        <v>11652.519201536836</v>
      </c>
      <c r="DV28" s="23">
        <f t="shared" si="33"/>
        <v>0.72828245009605219</v>
      </c>
      <c r="DW28" s="114">
        <f t="shared" si="34"/>
        <v>229.40897178025645</v>
      </c>
      <c r="DX28" s="179">
        <f t="shared" si="66"/>
        <v>100</v>
      </c>
      <c r="DY28" s="179">
        <f t="shared" si="67"/>
        <v>100</v>
      </c>
      <c r="DZ28" s="179">
        <f t="shared" si="71"/>
        <v>0</v>
      </c>
      <c r="EA28">
        <f t="shared" si="68"/>
        <v>200</v>
      </c>
      <c r="EB28" s="13">
        <f t="shared" si="58"/>
        <v>307.96875</v>
      </c>
      <c r="EC28" s="14">
        <f t="shared" si="59"/>
        <v>-500</v>
      </c>
      <c r="ED28" s="13">
        <f t="shared" si="60"/>
        <v>807.96875</v>
      </c>
      <c r="EE28" s="13">
        <f t="shared" si="65"/>
        <v>53.12671232876712</v>
      </c>
      <c r="EF28" s="17">
        <f t="shared" si="61"/>
        <v>1</v>
      </c>
      <c r="EG28" s="197">
        <f t="shared" si="62"/>
        <v>588.42946085104472</v>
      </c>
      <c r="EI28" s="13">
        <f t="shared" si="63"/>
        <v>0</v>
      </c>
      <c r="EJ28" s="131">
        <f>FG$58</f>
        <v>16571.582077721738</v>
      </c>
      <c r="EK28" s="31">
        <f>FF$60</f>
        <v>0.99</v>
      </c>
      <c r="EO28" s="2">
        <v>40892</v>
      </c>
      <c r="EP28" s="193">
        <v>43266</v>
      </c>
      <c r="ES28">
        <v>11.025</v>
      </c>
    </row>
    <row r="29" spans="2:163" ht="16" customHeight="1">
      <c r="B29" s="289"/>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F29" s="299"/>
      <c r="AG29" s="181"/>
      <c r="AI29" s="126"/>
      <c r="AJ29" s="126"/>
      <c r="AK29" s="126"/>
      <c r="AL29" s="126"/>
      <c r="AM29" s="126"/>
      <c r="AN29" s="126"/>
      <c r="AO29" s="126"/>
      <c r="AP29" s="126"/>
      <c r="AQ29" s="126"/>
      <c r="AR29" s="126"/>
      <c r="AS29" s="126"/>
      <c r="AT29" s="126"/>
      <c r="AU29" s="126"/>
      <c r="AV29" s="126"/>
      <c r="AW29" s="126"/>
      <c r="AX29" s="126"/>
      <c r="AZ29" s="288">
        <f t="shared" si="35"/>
        <v>40908</v>
      </c>
      <c r="BA29" s="48" t="str">
        <f>IF(EA28&gt;0,"",DE29)</f>
        <v/>
      </c>
      <c r="BB29" s="222" t="str">
        <f>IF(EA29&gt;0,"",DS29)</f>
        <v/>
      </c>
      <c r="BC29" s="173" t="str">
        <f t="shared" si="1"/>
        <v/>
      </c>
      <c r="BD29" s="99" t="str">
        <f>IF(EA29&gt;0,"",DW29)</f>
        <v/>
      </c>
      <c r="BE29" s="4" t="str">
        <f t="shared" si="2"/>
        <v/>
      </c>
      <c r="BF29" s="3" t="str">
        <f t="shared" si="3"/>
        <v/>
      </c>
      <c r="BK29" s="76"/>
      <c r="BL29" s="76"/>
      <c r="BO29" s="158">
        <f t="shared" si="38"/>
        <v>40908</v>
      </c>
      <c r="BP29" s="373">
        <f>IF($AZ$32="d",'Profils de colonie'!I55,IF($AZ$32="n",'Profils de colonie'!I83,IF($AZ$32="p",'Profils de colonie'!I111,IF($AZ$32="a",'Profils de colonie'!I139,IF($AZ$32="b",'Profils de colonie'!I167,IF($AZ$32="c",'Profils de colonie'!I195,IF($AZ$32="r",'Profils de colonie'!I223,IF($AZ$32="s",'Profils de colonie'!I251,IF($AZ$32="f",'Profils de colonie'!I279,"erreur")))))))))</f>
        <v>8</v>
      </c>
      <c r="BQ29">
        <f>BP29*$BP$45</f>
        <v>16000</v>
      </c>
      <c r="BR29" s="68">
        <f>IF($AZ$32="d",'Profils de colonie'!G55,IF($AZ$32="n",'Profils de colonie'!G83,IF($AZ$32="p",'Profils de colonie'!G111,IF($AZ$32="a",'Profils de colonie'!G139,IF($AZ$32="b",'Profils de colonie'!G167,IF($AZ$32="c",'Profils de colonie'!G195,IF($AZ$32="r",'Profils de colonie'!G223,IF($AZ$32="s",'Profils de colonie'!G251,IF($AZ$32="f",'Profils de colonie'!G279,"erreur")))))))))</f>
        <v>0.125</v>
      </c>
      <c r="BS29" s="13">
        <f>IF(BR29=0,1,$BP$44*BR29)</f>
        <v>562.5</v>
      </c>
      <c r="BT29" s="17">
        <f>IF(BQ29=0,0,BS29/BQ29)</f>
        <v>3.515625E-2</v>
      </c>
      <c r="BU29">
        <f>BS29*12/20</f>
        <v>337.5</v>
      </c>
      <c r="BV29" s="14">
        <f>CT29*BU29</f>
        <v>337.49282140650087</v>
      </c>
      <c r="BW29" s="14">
        <f>BS29/20</f>
        <v>28.125</v>
      </c>
      <c r="BX29" s="89">
        <f>IF(BT29=0,0.001,(-$BP$43*LN(BT29))+$BP$42)</f>
        <v>21.739764335716714</v>
      </c>
      <c r="BY29" s="21">
        <f>BX29+12</f>
        <v>33.739764335716714</v>
      </c>
      <c r="BZ29" s="26">
        <f>IF(BR29=0,1,BX29/BY29)</f>
        <v>0.6443365792185789</v>
      </c>
      <c r="CA29" s="103">
        <f>1-BZ29</f>
        <v>0.3556634207814211</v>
      </c>
      <c r="CB29" s="22">
        <f t="shared" si="11"/>
        <v>3630.8983444581363</v>
      </c>
      <c r="CC29" s="5">
        <f>0.6*BS29</f>
        <v>337.5</v>
      </c>
      <c r="CD29" s="67">
        <f>IF($AZ$32="d",'Profils de colonie'!K55,IF($AZ$32="n",'Profils de colonie'!K83,IF($AZ$32="p",'Profils de colonie'!K111,IF($AZ$32="a",'Profils de colonie'!J139,IF($AZ$32="b",'Profils de colonie'!K167,IF($AZ$32="c",'Profils de colonie'!K195,IF($AZ$32="r",'Profils de colonie'!K223,IF($AZ$32="s",'Profils de colonie'!K223,IF($AZ$32="f",'Profils de colonie'!K279,"erreur")))))))))</f>
        <v>0</v>
      </c>
      <c r="CE29" s="87">
        <f t="shared" si="42"/>
        <v>0</v>
      </c>
      <c r="CF29" s="63">
        <f t="shared" si="43"/>
        <v>0</v>
      </c>
      <c r="CG29" s="84">
        <f>CF29*CA29</f>
        <v>0</v>
      </c>
      <c r="CH29" s="60">
        <f>CF29*CB29</f>
        <v>0</v>
      </c>
      <c r="CI29" s="61">
        <f>IF(CE29=0,0,CH29/(CC29*CE29))</f>
        <v>0</v>
      </c>
      <c r="CJ29" s="266">
        <f t="shared" si="14"/>
        <v>0</v>
      </c>
      <c r="CK29" s="267">
        <f>IF(CJ29=0,0,CI29/CJ29)</f>
        <v>0</v>
      </c>
      <c r="CL29" s="61">
        <f>BX29+15</f>
        <v>36.739764335716714</v>
      </c>
      <c r="CM29" s="265">
        <v>1</v>
      </c>
      <c r="CN29" s="71">
        <f>(1+($BP$32*CM29))*$BP$47</f>
        <v>4.2749999999999995</v>
      </c>
      <c r="CO29" s="65">
        <f>LN(CN29)/14.75</f>
        <v>9.8493837450082944E-2</v>
      </c>
      <c r="CP29" s="85">
        <f>1-BZ29-CG29</f>
        <v>0.3556634207814211</v>
      </c>
      <c r="CQ29" s="59">
        <f>(1-CE29)*CC29</f>
        <v>337.5</v>
      </c>
      <c r="CR29" s="59">
        <f>CB29-CH29</f>
        <v>3630.8983444581363</v>
      </c>
      <c r="CS29" s="62">
        <f>CR29/CQ29</f>
        <v>10.758217316912997</v>
      </c>
      <c r="CT29" s="263">
        <f t="shared" si="19"/>
        <v>0.99997873009333593</v>
      </c>
      <c r="CU29" s="265">
        <f t="shared" si="50"/>
        <v>10.758435389394192</v>
      </c>
      <c r="CV29" s="64">
        <f t="shared" si="20"/>
        <v>1</v>
      </c>
      <c r="CW29" s="62">
        <f t="shared" si="21"/>
        <v>33.739764335716714</v>
      </c>
      <c r="CX29" s="264">
        <v>1</v>
      </c>
      <c r="CY29" s="70">
        <f t="shared" si="51"/>
        <v>2.2586249999999999</v>
      </c>
      <c r="CZ29" s="66">
        <f t="shared" si="22"/>
        <v>0</v>
      </c>
      <c r="DA29" s="91">
        <f t="shared" si="23"/>
        <v>0</v>
      </c>
      <c r="DB29" s="23">
        <f t="shared" si="24"/>
        <v>-5.0125418235442863E-3</v>
      </c>
      <c r="DC29" s="28">
        <f>DA29+DB29</f>
        <v>-5.0125418235442863E-3</v>
      </c>
      <c r="DD29" s="28"/>
      <c r="DE29" s="270">
        <f t="shared" si="69"/>
        <v>10208.804539080125</v>
      </c>
      <c r="DF29" s="178">
        <f t="shared" si="26"/>
        <v>7146.1631773560875</v>
      </c>
      <c r="DG29" s="177">
        <f t="shared" si="52"/>
        <v>7146.1631773560875</v>
      </c>
      <c r="DH29" s="116">
        <f t="shared" si="70"/>
        <v>0</v>
      </c>
      <c r="DI29" s="13">
        <f>DE29+DH29</f>
        <v>10208.804539080125</v>
      </c>
      <c r="DJ29" s="199">
        <f>DI29-DK29</f>
        <v>749.31774814912023</v>
      </c>
      <c r="DK29" s="107">
        <f t="shared" si="27"/>
        <v>9459.4867909310051</v>
      </c>
      <c r="DL29" s="182">
        <f>'Immigration de varroas'!D36</f>
        <v>0</v>
      </c>
      <c r="DM29" s="109">
        <f>IF(EG29&gt;DU29*EF29,-DU29*EF29,-EG29)</f>
        <v>-0.28135965949652647</v>
      </c>
      <c r="DN29" s="82">
        <f t="shared" si="64"/>
        <v>-0.28135965949652647</v>
      </c>
      <c r="DO29" s="198">
        <f t="shared" si="28"/>
        <v>9459.2054312715081</v>
      </c>
      <c r="DP29" s="278"/>
      <c r="DQ29" s="107"/>
      <c r="DR29" s="79">
        <f t="shared" si="29"/>
        <v>9459.2054312715081</v>
      </c>
      <c r="DS29" s="23">
        <f t="shared" si="30"/>
        <v>-5.0144975994463889E-3</v>
      </c>
      <c r="DT29" s="158">
        <f t="shared" si="31"/>
        <v>40908</v>
      </c>
      <c r="DU29" s="74">
        <f t="shared" si="32"/>
        <v>6577.906194621989</v>
      </c>
      <c r="DV29" s="23">
        <f t="shared" si="33"/>
        <v>0.41111913716387433</v>
      </c>
      <c r="DW29" s="114">
        <f>DV29*315</f>
        <v>129.50252820662041</v>
      </c>
      <c r="DX29" s="179">
        <f t="shared" si="66"/>
        <v>100</v>
      </c>
      <c r="DY29" s="179">
        <f t="shared" si="67"/>
        <v>100</v>
      </c>
      <c r="DZ29" s="179">
        <f t="shared" si="71"/>
        <v>0</v>
      </c>
      <c r="EA29">
        <f t="shared" si="68"/>
        <v>200</v>
      </c>
      <c r="EB29" s="13">
        <f t="shared" si="58"/>
        <v>0.68437499999999996</v>
      </c>
      <c r="EC29" s="14">
        <f t="shared" si="59"/>
        <v>0</v>
      </c>
      <c r="ED29" s="13">
        <f>EB29-EC29</f>
        <v>0.68437499999999996</v>
      </c>
      <c r="EE29" s="13">
        <f t="shared" si="65"/>
        <v>4.4999999999999998E-2</v>
      </c>
      <c r="EF29" s="17">
        <f>IF(DV29&gt;0.15,1,$BP$36)</f>
        <v>1</v>
      </c>
      <c r="EG29" s="197">
        <f>ED29*EF29*DV29</f>
        <v>0.28135965949652647</v>
      </c>
      <c r="EI29" s="13">
        <f t="shared" si="63"/>
        <v>0</v>
      </c>
      <c r="EJ29" s="131">
        <f>FG$58</f>
        <v>16571.582077721738</v>
      </c>
      <c r="EK29" s="31">
        <f>FF$60</f>
        <v>0.99</v>
      </c>
      <c r="EM29" s="14"/>
      <c r="EN29" s="14"/>
      <c r="EO29" s="2">
        <v>40908</v>
      </c>
      <c r="EP29" s="193">
        <v>43281</v>
      </c>
    </row>
    <row r="30" spans="2:163" ht="16.19" customHeight="1">
      <c r="AF30" s="191"/>
      <c r="AI30" s="126"/>
      <c r="AJ30" s="126"/>
      <c r="AK30" s="126"/>
      <c r="AL30" s="126"/>
      <c r="AM30" s="126"/>
      <c r="AN30" s="126"/>
      <c r="AO30" s="126"/>
      <c r="AP30" s="126"/>
      <c r="AQ30" s="126"/>
      <c r="AR30" s="126"/>
      <c r="AS30" s="126"/>
      <c r="AT30" s="126"/>
      <c r="AU30" s="126"/>
      <c r="AV30" s="126"/>
      <c r="AW30" s="126"/>
      <c r="AX30" s="126"/>
      <c r="AY30" s="260"/>
      <c r="AZ30" s="234" t="s">
        <v>127</v>
      </c>
      <c r="BA30" s="236">
        <f>MAX(BA5:BA29)</f>
        <v>17998.02516844311</v>
      </c>
      <c r="BB30" s="235" t="s">
        <v>128</v>
      </c>
      <c r="BC30" s="233">
        <f>SUM(BC5:BC29)</f>
        <v>0</v>
      </c>
      <c r="BD30" s="224"/>
      <c r="BE30" s="224"/>
      <c r="BF30" s="224"/>
      <c r="BG30" s="224"/>
      <c r="BH30" s="224"/>
      <c r="BI30" s="224"/>
      <c r="BJ30" s="179"/>
      <c r="BK30" s="179"/>
      <c r="BL30" s="179"/>
      <c r="BM30" s="179"/>
      <c r="BN30" s="384" t="s">
        <v>129</v>
      </c>
      <c r="BO30" s="239">
        <f t="shared" ref="BO30:BO36" si="72">AG41</f>
        <v>1.45</v>
      </c>
      <c r="BP30" s="136">
        <f>IF($AG$39="custom",AH41*(1-$BP$40),IF($AG$39="",BO30*(1-AG50),"erreur"))</f>
        <v>1.3774999999999999</v>
      </c>
      <c r="BQ30" s="163" t="s">
        <v>130</v>
      </c>
      <c r="BX30" s="21"/>
      <c r="BY30" s="5">
        <f>BX30+12</f>
        <v>12</v>
      </c>
      <c r="CF30"/>
      <c r="CL30" s="61">
        <f>BX30+15</f>
        <v>15</v>
      </c>
      <c r="CS30" s="5" t="s">
        <v>131</v>
      </c>
      <c r="CT30" s="31">
        <f>MAX(CT5:CT29)</f>
        <v>0.99999993799500198</v>
      </c>
      <c r="CU30" s="17"/>
      <c r="CY30" s="5"/>
      <c r="DL30" s="183">
        <f>SUM(DL5:DL28)</f>
        <v>0</v>
      </c>
      <c r="DM30" s="29">
        <f>SUM(DM6:DM29)</f>
        <v>-7368.9325717737847</v>
      </c>
      <c r="DN30" s="82">
        <f>DL30+DM30</f>
        <v>-7368.9325717737847</v>
      </c>
      <c r="DX30" s="463" t="s">
        <v>82</v>
      </c>
      <c r="DY30" s="463" t="s">
        <v>83</v>
      </c>
      <c r="DZ30" s="463" t="s">
        <v>84</v>
      </c>
      <c r="EA30" s="463" t="s">
        <v>85</v>
      </c>
      <c r="EK30">
        <v>4</v>
      </c>
      <c r="EL30">
        <v>5</v>
      </c>
      <c r="EM30">
        <v>6</v>
      </c>
      <c r="EN30">
        <v>7</v>
      </c>
      <c r="EO30">
        <v>8</v>
      </c>
      <c r="EP30">
        <v>9</v>
      </c>
      <c r="EQ30">
        <v>10</v>
      </c>
      <c r="ER30">
        <v>11</v>
      </c>
      <c r="ES30">
        <v>12</v>
      </c>
      <c r="ET30">
        <v>13</v>
      </c>
      <c r="EU30">
        <v>14</v>
      </c>
      <c r="EV30">
        <v>15</v>
      </c>
      <c r="EW30">
        <v>16</v>
      </c>
      <c r="EX30">
        <v>17</v>
      </c>
      <c r="EY30">
        <v>18</v>
      </c>
      <c r="EZ30">
        <v>19</v>
      </c>
      <c r="FA30">
        <v>20</v>
      </c>
      <c r="FB30">
        <v>21</v>
      </c>
      <c r="FC30">
        <v>22</v>
      </c>
      <c r="FD30">
        <v>23</v>
      </c>
      <c r="FE30">
        <v>24</v>
      </c>
      <c r="FF30">
        <v>25</v>
      </c>
      <c r="FG30">
        <v>26</v>
      </c>
    </row>
    <row r="31" spans="2:163" ht="16.19" customHeight="1">
      <c r="B31" s="462" t="s">
        <v>132</v>
      </c>
      <c r="C31" s="462"/>
      <c r="D31" s="462"/>
      <c r="E31" s="462"/>
      <c r="F31" s="462"/>
      <c r="G31" s="462"/>
      <c r="H31" s="462"/>
      <c r="I31" s="462"/>
      <c r="J31" s="462"/>
      <c r="K31" s="462"/>
      <c r="L31" s="462"/>
      <c r="M31" s="462"/>
      <c r="AF31" s="191"/>
      <c r="AH31" s="126"/>
      <c r="AI31" s="126"/>
      <c r="AJ31" s="126"/>
      <c r="AK31" s="126"/>
      <c r="AL31" s="126"/>
      <c r="AM31" s="126"/>
      <c r="AN31" s="126"/>
      <c r="AO31" s="126"/>
      <c r="AP31" s="126"/>
      <c r="AQ31" s="126"/>
      <c r="AR31" s="126"/>
      <c r="AS31" s="126"/>
      <c r="AT31" s="126"/>
      <c r="AU31" s="126"/>
      <c r="AV31" s="126"/>
      <c r="AW31" s="126"/>
      <c r="AX31" s="126"/>
      <c r="AY31" s="126"/>
      <c r="AZ31" s="126"/>
      <c r="BB31" s="374"/>
      <c r="BL31" s="10"/>
      <c r="BN31" s="384"/>
      <c r="BO31" s="239">
        <f t="shared" si="72"/>
        <v>0.7</v>
      </c>
      <c r="BP31" s="50">
        <f t="shared" ref="BP31:BP36" si="73">IF($AG$39="custom",AH42,IF($AG$39="",BO31,"erreur"))</f>
        <v>0.7</v>
      </c>
      <c r="BQ31" s="163" t="s">
        <v>133</v>
      </c>
      <c r="BY31" s="77">
        <f>(1+(BP30*BP31))</f>
        <v>1.9642499999999998</v>
      </c>
      <c r="BZ31" s="352" t="s">
        <v>134</v>
      </c>
      <c r="CA31"/>
      <c r="CB31"/>
      <c r="CY31" s="352"/>
      <c r="DX31" s="463"/>
      <c r="DY31" s="463"/>
      <c r="DZ31" s="463"/>
      <c r="EA31" s="463"/>
      <c r="EI31" t="s">
        <v>135</v>
      </c>
      <c r="EJ31" s="13">
        <f>BS5</f>
        <v>1</v>
      </c>
      <c r="EK31" s="13">
        <f>BS6</f>
        <v>1125</v>
      </c>
      <c r="EL31" s="13">
        <f>BS7</f>
        <v>1485</v>
      </c>
      <c r="EM31" s="13">
        <f>BS8</f>
        <v>3375</v>
      </c>
      <c r="EN31" s="13">
        <f>BS9</f>
        <v>4500</v>
      </c>
      <c r="EO31" s="13">
        <f>BS10</f>
        <v>9000</v>
      </c>
      <c r="EP31" s="13">
        <f>BS11</f>
        <v>13500</v>
      </c>
      <c r="EQ31" s="13">
        <f>BS12</f>
        <v>22500</v>
      </c>
      <c r="ER31" s="13">
        <f>BS13</f>
        <v>27000</v>
      </c>
      <c r="ES31" s="13">
        <f>BS14</f>
        <v>29250</v>
      </c>
      <c r="ET31" s="13">
        <f>BS15</f>
        <v>31500</v>
      </c>
      <c r="EU31" s="13">
        <f>BS16</f>
        <v>29250</v>
      </c>
      <c r="EV31" s="13">
        <f>BS17</f>
        <v>27000</v>
      </c>
      <c r="EW31" s="13">
        <f>BS18</f>
        <v>22500</v>
      </c>
      <c r="EX31" s="13">
        <f>BS19</f>
        <v>20250</v>
      </c>
      <c r="EY31" s="13">
        <f>BS20</f>
        <v>18000</v>
      </c>
      <c r="EZ31" s="13">
        <f>BS21</f>
        <v>15750</v>
      </c>
      <c r="FA31" s="13">
        <f>BS22</f>
        <v>18000</v>
      </c>
      <c r="FB31" s="13">
        <f>BS23</f>
        <v>9000</v>
      </c>
      <c r="FC31" s="13">
        <f>BS24</f>
        <v>2250</v>
      </c>
      <c r="FD31" s="13">
        <f>BS25</f>
        <v>1125</v>
      </c>
      <c r="FE31" s="13">
        <f>BS26</f>
        <v>562.5</v>
      </c>
      <c r="FF31" s="13">
        <f>BS27</f>
        <v>450</v>
      </c>
      <c r="FG31" s="13">
        <f>BS28</f>
        <v>1</v>
      </c>
    </row>
    <row r="32" spans="2:163" ht="16.44">
      <c r="B32" s="444" t="str">
        <f>'Profils de colonie'!B30</f>
        <v>D : colonie par défaut en climat tempéré, conduite pour éviter l’essaimage (légère reprise du couvain en automne)</v>
      </c>
      <c r="C32" s="444"/>
      <c r="D32" s="444"/>
      <c r="E32" s="444"/>
      <c r="F32" s="444"/>
      <c r="G32" s="444"/>
      <c r="H32" s="444"/>
      <c r="I32" s="444"/>
      <c r="J32" s="444"/>
      <c r="K32" s="444"/>
      <c r="L32" s="444"/>
      <c r="M32" s="444"/>
      <c r="AF32" s="191"/>
      <c r="AM32" s="352"/>
      <c r="AN32" s="352"/>
      <c r="AO32" s="352"/>
      <c r="AP32" s="352"/>
      <c r="AQ32" s="352"/>
      <c r="AR32" s="352"/>
      <c r="AS32" s="352"/>
      <c r="AT32" s="352"/>
      <c r="AU32" s="352"/>
      <c r="AV32" s="352"/>
      <c r="AW32" s="352"/>
      <c r="AX32" s="352"/>
      <c r="AY32" s="352"/>
      <c r="AZ32" s="301" t="str">
        <f>C22</f>
        <v>d</v>
      </c>
      <c r="BA32" s="279" t="s">
        <v>136</v>
      </c>
      <c r="BB32" s="352"/>
      <c r="BC32" s="352"/>
      <c r="BD32" s="352"/>
      <c r="BG32" s="404"/>
      <c r="BH32" s="404"/>
      <c r="BI32" s="404"/>
      <c r="BJ32" s="404"/>
      <c r="BK32" s="404"/>
      <c r="BL32" s="404"/>
      <c r="BM32" s="404"/>
      <c r="BN32" s="384" t="s">
        <v>137</v>
      </c>
      <c r="BO32" s="239">
        <f t="shared" si="72"/>
        <v>3.5</v>
      </c>
      <c r="BP32" s="136">
        <f t="shared" si="73"/>
        <v>3.5</v>
      </c>
      <c r="BQ32" s="163" t="s">
        <v>138</v>
      </c>
      <c r="BY32">
        <f>LN(BY31)</f>
        <v>0.67511049307379378</v>
      </c>
      <c r="BZ32" s="352" t="s">
        <v>139</v>
      </c>
      <c r="CA32"/>
      <c r="CB32"/>
      <c r="CC32"/>
      <c r="CD32" s="31"/>
      <c r="CE32" s="31"/>
      <c r="CH32" s="352"/>
      <c r="CN32" s="31"/>
      <c r="CX32" s="9"/>
      <c r="CY32" s="11"/>
      <c r="DH32" s="13"/>
      <c r="DV32" s="56"/>
      <c r="DX32" s="463"/>
      <c r="DY32" s="463"/>
      <c r="DZ32" s="463"/>
      <c r="EA32" s="463"/>
      <c r="EI32" s="377" t="s">
        <v>140</v>
      </c>
      <c r="EJ32" s="2">
        <v>40544</v>
      </c>
      <c r="EK32" s="2">
        <v>40558</v>
      </c>
      <c r="EL32" s="2">
        <v>40575</v>
      </c>
      <c r="EM32" s="2">
        <v>40589</v>
      </c>
      <c r="EN32" s="2">
        <v>40603</v>
      </c>
      <c r="EO32" s="2">
        <v>40617</v>
      </c>
      <c r="EP32" s="2">
        <v>40634</v>
      </c>
      <c r="EQ32" s="2">
        <v>40648</v>
      </c>
      <c r="ER32" s="2">
        <v>40664</v>
      </c>
      <c r="ES32" s="2">
        <v>40678</v>
      </c>
      <c r="ET32" s="2">
        <v>40695</v>
      </c>
      <c r="EU32" s="2">
        <v>40709</v>
      </c>
      <c r="EV32" s="2">
        <v>40725</v>
      </c>
      <c r="EW32" s="2">
        <v>40739</v>
      </c>
      <c r="EX32" s="2">
        <v>40756</v>
      </c>
      <c r="EY32" s="2">
        <v>40770</v>
      </c>
      <c r="EZ32" s="2">
        <v>40787</v>
      </c>
      <c r="FA32" s="2">
        <v>40801</v>
      </c>
      <c r="FB32" s="2">
        <v>40817</v>
      </c>
      <c r="FC32" s="2">
        <v>40831</v>
      </c>
      <c r="FD32" s="2">
        <v>40848</v>
      </c>
      <c r="FE32" s="2">
        <v>40862</v>
      </c>
      <c r="FF32" s="2">
        <v>40878</v>
      </c>
      <c r="FG32" s="2">
        <v>40892</v>
      </c>
    </row>
    <row r="33" spans="2:163" ht="16.44">
      <c r="B33" s="444"/>
      <c r="C33" s="444"/>
      <c r="D33" s="444"/>
      <c r="E33" s="444"/>
      <c r="F33" s="444"/>
      <c r="G33" s="444"/>
      <c r="H33" s="444"/>
      <c r="I33" s="444"/>
      <c r="J33" s="444"/>
      <c r="K33" s="444"/>
      <c r="L33" s="444"/>
      <c r="M33" s="444"/>
      <c r="AF33" s="191"/>
      <c r="AZ33" s="303">
        <f>C23</f>
        <v>50</v>
      </c>
      <c r="BA33" s="302" t="s">
        <v>141</v>
      </c>
      <c r="BB33" s="6"/>
      <c r="BC33" s="6"/>
      <c r="BD33" s="6"/>
      <c r="BF33" s="128"/>
      <c r="BN33" s="384"/>
      <c r="BO33" s="239">
        <f t="shared" si="72"/>
        <v>0.7</v>
      </c>
      <c r="BP33" s="50">
        <f t="shared" si="73"/>
        <v>0.7</v>
      </c>
      <c r="BQ33" s="163" t="s">
        <v>142</v>
      </c>
      <c r="BV33">
        <f>LN(1885/1160)/23</f>
        <v>2.1109035468769601E-2</v>
      </c>
      <c r="BY33" s="77">
        <f>(LN(1+(BP30*BP31)))/12</f>
        <v>5.6259207756149482E-2</v>
      </c>
      <c r="BZ33" t="s">
        <v>143</v>
      </c>
      <c r="CA33"/>
      <c r="CB33"/>
      <c r="CC33"/>
      <c r="CD33" s="31"/>
      <c r="CE33" s="31"/>
      <c r="CF33"/>
      <c r="CJ33" s="9"/>
      <c r="CX33" s="5"/>
      <c r="CY33" s="352"/>
      <c r="DV33" s="56"/>
      <c r="DX33" s="463"/>
      <c r="DY33" s="463"/>
      <c r="DZ33" s="463"/>
      <c r="EA33" s="463"/>
      <c r="EI33" s="5" t="s">
        <v>144</v>
      </c>
      <c r="EJ33" s="152">
        <f>'Paramètres libres'!C21</f>
        <v>0</v>
      </c>
      <c r="EK33" s="152">
        <f>'Paramètres libres'!D21</f>
        <v>0</v>
      </c>
      <c r="EL33" s="152">
        <f>'Paramètres libres'!E21</f>
        <v>0</v>
      </c>
      <c r="EM33" s="152">
        <f>'Paramètres libres'!F21</f>
        <v>0</v>
      </c>
      <c r="EN33" s="152">
        <f>'Paramètres libres'!G21</f>
        <v>0</v>
      </c>
      <c r="EO33" s="152">
        <f>'Paramètres libres'!H21</f>
        <v>0</v>
      </c>
      <c r="EP33" s="152">
        <f>'Paramètres libres'!I21</f>
        <v>0</v>
      </c>
      <c r="EQ33" s="152">
        <f>'Paramètres libres'!J21</f>
        <v>0</v>
      </c>
      <c r="ER33" s="152">
        <f>'Paramètres libres'!K21</f>
        <v>0</v>
      </c>
      <c r="ES33" s="152">
        <f>'Paramètres libres'!L21</f>
        <v>0</v>
      </c>
      <c r="ET33" s="152">
        <f>'Paramètres libres'!M21</f>
        <v>0</v>
      </c>
      <c r="EU33" s="152">
        <f>'Paramètres libres'!N21</f>
        <v>0</v>
      </c>
      <c r="EV33" s="152">
        <f>'Paramètres libres'!O21</f>
        <v>0</v>
      </c>
      <c r="EW33" s="152">
        <f>'Paramètres libres'!P21</f>
        <v>0</v>
      </c>
      <c r="EX33" s="152">
        <f>'Paramètres libres'!Q21</f>
        <v>0</v>
      </c>
      <c r="EY33" s="152">
        <f>'Paramètres libres'!R21</f>
        <v>0</v>
      </c>
      <c r="EZ33" s="152">
        <f>'Paramètres libres'!S21</f>
        <v>0</v>
      </c>
      <c r="FA33" s="152">
        <f>'Paramètres libres'!T21</f>
        <v>0</v>
      </c>
      <c r="FB33" s="152">
        <f>'Paramètres libres'!U21</f>
        <v>0</v>
      </c>
      <c r="FC33" s="152">
        <f>'Paramètres libres'!V21</f>
        <v>0</v>
      </c>
      <c r="FD33" s="152">
        <f>'Paramètres libres'!W21</f>
        <v>0</v>
      </c>
      <c r="FE33" s="152">
        <f>'Paramètres libres'!X21</f>
        <v>0</v>
      </c>
      <c r="FF33" s="152">
        <f>'Paramètres libres'!Y21</f>
        <v>0</v>
      </c>
      <c r="FG33" s="152">
        <f>'Paramètres libres'!Z21</f>
        <v>0</v>
      </c>
    </row>
    <row r="34" spans="2:163" ht="16.44">
      <c r="B34" s="444" t="str">
        <f>'Profils de colonie'!B58</f>
        <v>N : Essaim sur cadres, 5 cadres d’abeilles, 3 cadres de couvain, installé le 1er avril</v>
      </c>
      <c r="C34" s="444"/>
      <c r="D34" s="444"/>
      <c r="E34" s="444"/>
      <c r="F34" s="444"/>
      <c r="G34" s="444"/>
      <c r="H34" s="444"/>
      <c r="I34" s="444"/>
      <c r="J34" s="444"/>
      <c r="K34" s="444"/>
      <c r="L34" s="444"/>
      <c r="M34" s="444"/>
      <c r="AF34" s="126"/>
      <c r="AZ34" s="303">
        <f>C24</f>
        <v>1</v>
      </c>
      <c r="BA34" s="6" t="s">
        <v>145</v>
      </c>
      <c r="BB34"/>
      <c r="BO34" s="269">
        <f t="shared" si="72"/>
        <v>5.0000000000000001E-3</v>
      </c>
      <c r="BP34" s="50">
        <f t="shared" si="73"/>
        <v>5.0000000000000001E-3</v>
      </c>
      <c r="BQ34" s="163" t="s">
        <v>146</v>
      </c>
      <c r="BV34">
        <f>1160*EXP(BV33*45)</f>
        <v>2999.1430600487124</v>
      </c>
      <c r="BY34" s="77">
        <f>12/17*BY33+5/17*BV38</f>
        <v>3.823810493859249E-2</v>
      </c>
      <c r="BZ34" s="5" t="s">
        <v>147</v>
      </c>
      <c r="CA34"/>
      <c r="CB34"/>
      <c r="CC34"/>
      <c r="CD34" s="31"/>
      <c r="CE34" s="31"/>
      <c r="CH34"/>
      <c r="CI34"/>
      <c r="CJ34" s="23"/>
      <c r="CR34" s="12"/>
      <c r="CS34" s="365"/>
      <c r="CT34" s="365"/>
      <c r="CU34" s="365"/>
      <c r="CV34" s="365"/>
      <c r="CW34" s="163"/>
      <c r="CX34" s="5"/>
      <c r="CY34" s="352"/>
      <c r="DE34" s="13"/>
      <c r="DF34" s="13"/>
      <c r="DG34" s="13"/>
      <c r="DH34" s="13"/>
      <c r="DI34" s="13"/>
      <c r="DJ34" s="13"/>
      <c r="DK34" s="13"/>
      <c r="DL34" s="25"/>
      <c r="DX34" s="463"/>
      <c r="DY34" s="463"/>
      <c r="DZ34" s="463"/>
      <c r="EA34" s="463"/>
      <c r="EI34" s="2">
        <f t="shared" ref="EI34:EI57" si="74">AZ5</f>
        <v>40544</v>
      </c>
      <c r="EJ34" s="129">
        <f>DE5</f>
        <v>50</v>
      </c>
      <c r="EK34" s="13">
        <f>EJ34*(1-EJ$33)*EXP($BV$39*15)</f>
        <v>46.378448440916394</v>
      </c>
      <c r="EL34" s="13">
        <f t="shared" ref="EL34:FA49" si="75">EK34*(1-EK$33)*EXP($BV$39*15)</f>
        <v>43.019209595734807</v>
      </c>
      <c r="EM34" s="13">
        <f t="shared" si="75"/>
        <v>39.903283884095252</v>
      </c>
      <c r="EN34" s="13">
        <f t="shared" si="75"/>
        <v>37.013047884835231</v>
      </c>
      <c r="EO34" s="131">
        <f t="shared" si="75"/>
        <v>34.332154659360008</v>
      </c>
      <c r="EP34" s="131">
        <f t="shared" si="75"/>
        <v>31.845441294693913</v>
      </c>
      <c r="EQ34" s="131">
        <f t="shared" si="75"/>
        <v>29.538843143283827</v>
      </c>
      <c r="ER34" s="131">
        <f t="shared" si="75"/>
        <v>27.399314274502114</v>
      </c>
      <c r="ES34" s="131">
        <f t="shared" si="75"/>
        <v>25.414753687929217</v>
      </c>
      <c r="ET34" s="131">
        <f t="shared" si="75"/>
        <v>23.5739368710843</v>
      </c>
      <c r="EU34" s="131">
        <f t="shared" si="75"/>
        <v>21.866452314500023</v>
      </c>
      <c r="EV34" s="131">
        <f t="shared" si="75"/>
        <v>20.282642625075926</v>
      </c>
      <c r="EW34" s="131">
        <f t="shared" si="75"/>
        <v>18.813549904652341</v>
      </c>
      <c r="EX34" s="131">
        <f t="shared" si="75"/>
        <v>17.450865084870522</v>
      </c>
      <c r="EY34" s="131">
        <f t="shared" si="75"/>
        <v>16.18688093176111</v>
      </c>
      <c r="EZ34" s="131">
        <f t="shared" si="75"/>
        <v>15.014448454258707</v>
      </c>
      <c r="FA34" s="131">
        <f t="shared" si="75"/>
        <v>13.926936470092684</v>
      </c>
      <c r="FB34" s="131">
        <f t="shared" ref="FB34:FG49" si="76">FA34*(1-FA$33)*EXP($BV$39*15)</f>
        <v>12.918194100362234</v>
      </c>
      <c r="FC34" s="131">
        <f t="shared" si="76"/>
        <v>11.982515980668003</v>
      </c>
      <c r="FD34" s="131">
        <f t="shared" si="76"/>
        <v>11.114609992037353</v>
      </c>
      <c r="FE34" s="131">
        <f t="shared" si="76"/>
        <v>10.309567329131971</v>
      </c>
      <c r="FF34" s="131">
        <f t="shared" si="76"/>
        <v>9.5628347364460637</v>
      </c>
      <c r="FG34" s="131">
        <f t="shared" si="76"/>
        <v>8.870188755465362</v>
      </c>
    </row>
    <row r="35" spans="2:163" ht="16.44">
      <c r="B35" s="460" t="str">
        <f>'Profils de colonie'!B86</f>
        <v>P : Colonie constituée d’un paquet d’abeilles d’environ 1,36 kg (3 lb dans l’original), installé sur des rayons bâtis et bien nourri</v>
      </c>
      <c r="C35" s="460"/>
      <c r="D35" s="460"/>
      <c r="E35" s="460"/>
      <c r="F35" s="460"/>
      <c r="G35" s="460"/>
      <c r="H35" s="460"/>
      <c r="I35" s="460"/>
      <c r="J35" s="460"/>
      <c r="K35" s="460"/>
      <c r="L35" s="460"/>
      <c r="M35" s="460"/>
      <c r="BB35" s="374"/>
      <c r="BO35" s="269">
        <f t="shared" si="72"/>
        <v>5.0000000000000001E-3</v>
      </c>
      <c r="BP35" s="50">
        <f t="shared" si="73"/>
        <v>5.0000000000000001E-3</v>
      </c>
      <c r="BQ35" s="163" t="s">
        <v>148</v>
      </c>
      <c r="BW35"/>
      <c r="BX35"/>
      <c r="CA35"/>
      <c r="CB35"/>
      <c r="CC35"/>
      <c r="CD35" s="31"/>
      <c r="CE35" s="31"/>
      <c r="CH35"/>
      <c r="CI35"/>
      <c r="CJ35" s="23"/>
      <c r="CR35" s="12"/>
      <c r="CS35" s="365"/>
      <c r="CT35" s="365"/>
      <c r="CU35" s="365"/>
      <c r="CV35" s="365"/>
      <c r="CW35" s="163"/>
      <c r="CX35" s="5"/>
      <c r="CY35" s="352"/>
      <c r="DE35" s="13"/>
      <c r="DF35" s="13"/>
      <c r="DG35" s="13"/>
      <c r="DH35" s="13"/>
      <c r="DI35" s="13"/>
      <c r="DJ35" s="13"/>
      <c r="DK35" s="13"/>
      <c r="DL35" s="25"/>
      <c r="DX35" s="463"/>
      <c r="DY35" s="463"/>
      <c r="DZ35" s="463"/>
      <c r="EA35" s="463"/>
      <c r="EI35" s="2">
        <f t="shared" si="74"/>
        <v>40558</v>
      </c>
      <c r="EK35" s="129">
        <f>EI6</f>
        <v>15.609319551891964</v>
      </c>
      <c r="EL35" s="13">
        <f t="shared" si="75"/>
        <v>14.478720440704192</v>
      </c>
      <c r="EM35" s="13">
        <f t="shared" si="75"/>
        <v>13.430011788992832</v>
      </c>
      <c r="EN35" s="13">
        <f t="shared" si="75"/>
        <v>12.457262186334068</v>
      </c>
      <c r="EO35" s="13">
        <f t="shared" si="75"/>
        <v>11.55496984047744</v>
      </c>
      <c r="EP35" s="131">
        <f t="shared" si="75"/>
        <v>10.718031459658537</v>
      </c>
      <c r="EQ35" s="131">
        <f>EP35*(1-EP$33)*EXP($BV$39*15)</f>
        <v>9.9417133887978668</v>
      </c>
      <c r="ER35" s="131">
        <f t="shared" si="75"/>
        <v>9.2216248363346018</v>
      </c>
      <c r="ES35" s="131">
        <f t="shared" si="75"/>
        <v>8.5536930402683673</v>
      </c>
      <c r="ET35" s="131">
        <f t="shared" si="75"/>
        <v>7.9341402329502371</v>
      </c>
      <c r="EU35" s="131">
        <f t="shared" si="75"/>
        <v>7.359462274337659</v>
      </c>
      <c r="EV35" s="131">
        <f t="shared" si="75"/>
        <v>6.8264088328647681</v>
      </c>
      <c r="EW35" s="131">
        <f t="shared" si="75"/>
        <v>6.3319650018326978</v>
      </c>
      <c r="EX35" s="131">
        <f t="shared" si="75"/>
        <v>5.8733342473436965</v>
      </c>
      <c r="EY35" s="131">
        <f t="shared" si="75"/>
        <v>5.4479225913339624</v>
      </c>
      <c r="EZ35" s="131">
        <f t="shared" si="75"/>
        <v>5.0533239402457157</v>
      </c>
      <c r="FA35" s="131">
        <f t="shared" si="75"/>
        <v>4.687306476358688</v>
      </c>
      <c r="FB35" s="131">
        <f t="shared" si="76"/>
        <v>4.347800034811498</v>
      </c>
      <c r="FC35" s="131">
        <f t="shared" si="76"/>
        <v>4.0328843949183915</v>
      </c>
      <c r="FD35" s="131">
        <f t="shared" si="76"/>
        <v>3.7407784195579783</v>
      </c>
      <c r="FE35" s="131">
        <f t="shared" si="76"/>
        <v>3.4698299812072482</v>
      </c>
      <c r="FF35" s="131">
        <f t="shared" si="76"/>
        <v>3.218506617643325</v>
      </c>
      <c r="FG35" s="131">
        <f t="shared" si="76"/>
        <v>2.9853868644623831</v>
      </c>
    </row>
    <row r="36" spans="2:163" ht="16.44">
      <c r="B36" s="350" t="str">
        <f>'Profils de colonie'!B114</f>
        <v>A : Colonie subtropicale, climat sec ; pas de rupture hivernale de couvain — sud de la Californie</v>
      </c>
      <c r="C36" s="350"/>
      <c r="D36" s="350"/>
      <c r="E36" s="350"/>
      <c r="F36" s="350"/>
      <c r="G36" s="350"/>
      <c r="H36" s="350"/>
      <c r="I36" s="350"/>
      <c r="J36" s="350"/>
      <c r="K36" s="328"/>
      <c r="L36" s="329"/>
      <c r="M36" s="330"/>
      <c r="AG36" s="405" t="s">
        <v>149</v>
      </c>
      <c r="AH36" s="405"/>
      <c r="AI36" s="405"/>
      <c r="AJ36" s="405"/>
      <c r="AK36" s="405"/>
      <c r="AL36" s="405"/>
      <c r="AM36" s="405"/>
      <c r="AN36" s="405"/>
      <c r="AO36" s="405"/>
      <c r="AP36" s="405"/>
      <c r="AQ36" s="405"/>
      <c r="AR36" s="405"/>
      <c r="AS36" s="405"/>
      <c r="AT36" s="405"/>
      <c r="AU36" s="405"/>
      <c r="AV36" s="405"/>
      <c r="AW36" s="405"/>
      <c r="AX36" s="405"/>
      <c r="AY36" s="405"/>
      <c r="BB36"/>
      <c r="BN36" s="49"/>
      <c r="BO36" s="239">
        <f t="shared" si="72"/>
        <v>0.6</v>
      </c>
      <c r="BP36" s="136">
        <f t="shared" si="73"/>
        <v>0.6</v>
      </c>
      <c r="BQ36" s="163" t="s">
        <v>150</v>
      </c>
      <c r="CA36"/>
      <c r="CB36"/>
      <c r="CD36" s="31"/>
      <c r="CE36" s="31"/>
      <c r="CH36"/>
      <c r="CI36"/>
      <c r="CJ36" s="23"/>
      <c r="CR36" s="12"/>
      <c r="CS36" s="365"/>
      <c r="CT36" s="365"/>
      <c r="CU36" s="365"/>
      <c r="CV36" s="365"/>
      <c r="CW36" s="163"/>
      <c r="CX36" s="5"/>
      <c r="DE36" s="13"/>
      <c r="DF36" s="13"/>
      <c r="DG36" s="13"/>
      <c r="DH36" s="13"/>
      <c r="DI36" s="13"/>
      <c r="DJ36" s="13"/>
      <c r="DK36" s="13"/>
      <c r="DL36" s="25"/>
      <c r="EI36" s="2">
        <f t="shared" si="74"/>
        <v>40575</v>
      </c>
      <c r="EL36" s="129">
        <f>EI7</f>
        <v>20.470789024901116</v>
      </c>
      <c r="EM36" s="13">
        <f t="shared" si="75"/>
        <v>18.98806866672507</v>
      </c>
      <c r="EN36" s="13">
        <f t="shared" si="75"/>
        <v>17.612743273045773</v>
      </c>
      <c r="EO36" s="13">
        <f t="shared" si="75"/>
        <v>16.337034115841007</v>
      </c>
      <c r="EP36" s="13">
        <f t="shared" si="75"/>
        <v>15.153725888380485</v>
      </c>
      <c r="EQ36" s="131">
        <f t="shared" si="75"/>
        <v>14.056125896040685</v>
      </c>
      <c r="ER36" s="131">
        <f t="shared" si="75"/>
        <v>13.038026202971052</v>
      </c>
      <c r="ES36" s="131">
        <f t="shared" si="75"/>
        <v>12.093668520516196</v>
      </c>
      <c r="ET36" s="131">
        <f t="shared" si="75"/>
        <v>11.217711638805881</v>
      </c>
      <c r="EU36" s="131">
        <f t="shared" si="75"/>
        <v>10.405201217308525</v>
      </c>
      <c r="EV36" s="131">
        <f t="shared" si="75"/>
        <v>9.6515417634860778</v>
      </c>
      <c r="EW36" s="131">
        <f t="shared" si="75"/>
        <v>8.9524706410638064</v>
      </c>
      <c r="EX36" s="131">
        <f t="shared" si="75"/>
        <v>8.3040339609079101</v>
      </c>
      <c r="EY36" s="131">
        <f t="shared" si="75"/>
        <v>7.7025642181517249</v>
      </c>
      <c r="EZ36" s="131">
        <f t="shared" si="75"/>
        <v>7.1446595490879448</v>
      </c>
      <c r="FA36" s="131">
        <f t="shared" si="75"/>
        <v>6.6271644905055238</v>
      </c>
      <c r="FB36" s="131">
        <f t="shared" si="76"/>
        <v>6.1471521326476477</v>
      </c>
      <c r="FC36" s="131">
        <f t="shared" si="76"/>
        <v>5.7019075648493631</v>
      </c>
      <c r="FD36" s="131">
        <f t="shared" si="76"/>
        <v>5.2889125202247467</v>
      </c>
      <c r="FE36" s="131">
        <f t="shared" si="76"/>
        <v>4.9058311325552122</v>
      </c>
      <c r="FF36" s="131">
        <f t="shared" si="76"/>
        <v>4.5504967248210875</v>
      </c>
      <c r="FG36" s="131">
        <f t="shared" si="76"/>
        <v>4.2208995546534744</v>
      </c>
    </row>
    <row r="37" spans="2:163" ht="16.19" customHeight="1">
      <c r="B37" s="460" t="str">
        <f>'Profils de colonie'!B142</f>
        <v>B : Colonie de haute latitude — été court et longue rupture hivernale de couvain</v>
      </c>
      <c r="C37" s="460"/>
      <c r="D37" s="460"/>
      <c r="E37" s="460"/>
      <c r="F37" s="460"/>
      <c r="G37" s="460"/>
      <c r="H37" s="460"/>
      <c r="I37" s="460"/>
      <c r="J37" s="460"/>
      <c r="K37" s="460"/>
      <c r="L37" s="460"/>
      <c r="M37" s="460"/>
      <c r="AG37" s="268" t="s">
        <v>151</v>
      </c>
      <c r="BB37"/>
      <c r="BP37">
        <v>15.208333333333334</v>
      </c>
      <c r="BQ37" s="163" t="s">
        <v>152</v>
      </c>
      <c r="BU37" t="s">
        <v>14</v>
      </c>
      <c r="CA37"/>
      <c r="CB37"/>
      <c r="CD37" s="31"/>
      <c r="CE37" s="31"/>
      <c r="CH37"/>
      <c r="CI37"/>
      <c r="CJ37" s="23"/>
      <c r="CQ37" s="31"/>
      <c r="CR37" s="12"/>
      <c r="CS37" s="365"/>
      <c r="CT37" s="365"/>
      <c r="CU37" s="365"/>
      <c r="CV37" s="365"/>
      <c r="CW37" s="163"/>
      <c r="CX37" s="5"/>
      <c r="DE37" s="13"/>
      <c r="DF37" s="13"/>
      <c r="DG37" s="13"/>
      <c r="DH37" s="13"/>
      <c r="DI37" s="13"/>
      <c r="DJ37" s="13"/>
      <c r="DK37" s="13"/>
      <c r="DL37" s="25"/>
      <c r="EI37" s="2">
        <f t="shared" si="74"/>
        <v>40589</v>
      </c>
      <c r="EM37" s="129">
        <f>EI8</f>
        <v>31.775520956731249</v>
      </c>
      <c r="EN37" s="13">
        <f t="shared" si="75"/>
        <v>29.473987207500372</v>
      </c>
      <c r="EO37" s="13">
        <f t="shared" si="75"/>
        <v>27.339155921025707</v>
      </c>
      <c r="EP37" s="13">
        <f t="shared" si="75"/>
        <v>25.358952666029296</v>
      </c>
      <c r="EQ37" s="13">
        <f t="shared" si="75"/>
        <v>23.52217757474158</v>
      </c>
      <c r="ER37" s="131">
        <f t="shared" si="75"/>
        <v>21.818441997364644</v>
      </c>
      <c r="ES37" s="131">
        <f t="shared" si="75"/>
        <v>20.23810974471802</v>
      </c>
      <c r="ET37" s="131">
        <f t="shared" si="75"/>
        <v>18.772242586740248</v>
      </c>
      <c r="EU37" s="131">
        <f t="shared" si="75"/>
        <v>17.412549698590151</v>
      </c>
      <c r="EV37" s="131">
        <f t="shared" si="75"/>
        <v>16.151340768419153</v>
      </c>
      <c r="EW37" s="131">
        <f t="shared" si="75"/>
        <v>14.981482501595973</v>
      </c>
      <c r="EX37" s="131">
        <f t="shared" si="75"/>
        <v>13.896358275375199</v>
      </c>
      <c r="EY37" s="131">
        <f t="shared" si="75"/>
        <v>12.88983071581981</v>
      </c>
      <c r="EZ37" s="131">
        <f t="shared" si="75"/>
        <v>11.95620698531579</v>
      </c>
      <c r="FA37" s="131">
        <f t="shared" si="75"/>
        <v>11.090206584347856</v>
      </c>
      <c r="FB37" s="131">
        <f t="shared" si="76"/>
        <v>10.28693148542577</v>
      </c>
      <c r="FC37" s="131">
        <f t="shared" si="76"/>
        <v>9.541838430241171</v>
      </c>
      <c r="FD37" s="131">
        <f t="shared" si="76"/>
        <v>8.8507132333698948</v>
      </c>
      <c r="FE37" s="131">
        <f t="shared" si="76"/>
        <v>8.2096469471836411</v>
      </c>
      <c r="FF37" s="131">
        <f t="shared" si="76"/>
        <v>7.6150137531616631</v>
      </c>
      <c r="FG37" s="131">
        <f t="shared" si="76"/>
        <v>7.0634504545575485</v>
      </c>
    </row>
    <row r="38" spans="2:163" ht="16.19" customHeight="1">
      <c r="B38" s="444" t="str">
        <f>'Profils de colonie'!B170</f>
        <v>C : colonie californienne sur 8 cadres utilisée pour les amandiers, dont des abeilles sont prélevées par secouage deux fois en avril. Saisir un « traitement » de 25 % en avril pour tenir compte des varroas emportés avec ces abeilles.</v>
      </c>
      <c r="C38" s="444"/>
      <c r="D38" s="444"/>
      <c r="E38" s="444"/>
      <c r="F38" s="444"/>
      <c r="G38" s="444"/>
      <c r="H38" s="444"/>
      <c r="I38" s="444"/>
      <c r="J38" s="444"/>
      <c r="K38" s="444"/>
      <c r="L38" s="444"/>
      <c r="M38" s="444"/>
      <c r="AG38" s="6" t="s">
        <v>153</v>
      </c>
      <c r="AH38" s="352"/>
      <c r="BB38" s="374"/>
      <c r="BF38" s="54"/>
      <c r="BV38" s="72">
        <f>LN(1-BP34)</f>
        <v>-5.0125418235442863E-3</v>
      </c>
      <c r="BW38" s="352" t="s">
        <v>154</v>
      </c>
      <c r="CD38" s="24"/>
      <c r="CE38" s="24"/>
      <c r="CH38"/>
      <c r="CI38"/>
      <c r="CJ38" s="23"/>
      <c r="CQ38" s="31"/>
      <c r="CR38" s="12"/>
      <c r="CS38" s="365"/>
      <c r="CT38" s="365"/>
      <c r="CU38" s="365"/>
      <c r="CV38" s="365"/>
      <c r="CW38" s="163"/>
      <c r="CX38" s="5"/>
      <c r="DL38" s="25"/>
      <c r="EI38" s="2">
        <f t="shared" si="74"/>
        <v>40603</v>
      </c>
      <c r="EN38" s="129">
        <f>EI9</f>
        <v>43.831807837764735</v>
      </c>
      <c r="EO38" s="13">
        <f>EN38*(1-EN$33)*EXP($BV$39*15)</f>
        <v>40.657024797518538</v>
      </c>
      <c r="EP38" s="13">
        <f t="shared" si="75"/>
        <v>37.712194566655455</v>
      </c>
      <c r="EQ38" s="13">
        <f t="shared" si="75"/>
        <v>34.98066142606875</v>
      </c>
      <c r="ER38" s="13">
        <f t="shared" si="75"/>
        <v>32.446976047561648</v>
      </c>
      <c r="ES38" s="131">
        <f t="shared" si="75"/>
        <v>30.096808113709741</v>
      </c>
      <c r="ET38" s="131">
        <f t="shared" si="75"/>
        <v>27.916865266756826</v>
      </c>
      <c r="EU38" s="131">
        <f t="shared" si="75"/>
        <v>25.894817928125821</v>
      </c>
      <c r="EV38" s="131">
        <f t="shared" si="75"/>
        <v>24.019229563330018</v>
      </c>
      <c r="EW38" s="131">
        <f t="shared" si="75"/>
        <v>22.279491997868721</v>
      </c>
      <c r="EX38" s="131">
        <f t="shared" si="75"/>
        <v>20.665765418259276</v>
      </c>
      <c r="EY38" s="131">
        <f t="shared" si="75"/>
        <v>19.168922718856216</v>
      </c>
      <c r="EZ38" s="131">
        <f t="shared" si="75"/>
        <v>17.780497879687676</v>
      </c>
      <c r="FA38" s="131">
        <f t="shared" si="75"/>
        <v>16.492638083338363</v>
      </c>
      <c r="FB38" s="131">
        <f t="shared" si="76"/>
        <v>15.298059300056048</v>
      </c>
      <c r="FC38" s="131">
        <f t="shared" si="76"/>
        <v>14.190005089874619</v>
      </c>
      <c r="FD38" s="131">
        <f t="shared" si="76"/>
        <v>13.162208388741824</v>
      </c>
      <c r="FE38" s="131">
        <f t="shared" si="76"/>
        <v>12.208856062517198</v>
      </c>
      <c r="FF38" s="131">
        <f t="shared" si="76"/>
        <v>11.324556028360467</v>
      </c>
      <c r="FG38" s="131">
        <f t="shared" si="76"/>
        <v>10.504306757551698</v>
      </c>
    </row>
    <row r="39" spans="2:163" ht="16.19" customHeight="1">
      <c r="B39" s="444"/>
      <c r="C39" s="444"/>
      <c r="D39" s="444"/>
      <c r="E39" s="444"/>
      <c r="F39" s="444"/>
      <c r="G39" s="444"/>
      <c r="H39" s="444"/>
      <c r="I39" s="444"/>
      <c r="J39" s="444"/>
      <c r="K39" s="444"/>
      <c r="L39" s="444"/>
      <c r="M39" s="444"/>
      <c r="AG39" s="406"/>
      <c r="AH39" s="407"/>
      <c r="AI39" t="s">
        <v>155</v>
      </c>
      <c r="BB39" s="374"/>
      <c r="BD39" t="s">
        <v>14</v>
      </c>
      <c r="BG39" s="56"/>
      <c r="BV39" s="72">
        <f>LN(1-BP35)</f>
        <v>-5.0125418235442863E-3</v>
      </c>
      <c r="BW39" s="352" t="s">
        <v>156</v>
      </c>
      <c r="CD39" s="24"/>
      <c r="CE39" s="24"/>
      <c r="CG39" s="47"/>
      <c r="CH39"/>
      <c r="CI39"/>
      <c r="CJ39" s="23"/>
      <c r="CQ39" s="31"/>
      <c r="CR39" s="12"/>
      <c r="CS39" s="365"/>
      <c r="CT39" s="365"/>
      <c r="CU39" s="365"/>
      <c r="CV39" s="365"/>
      <c r="CW39" s="163"/>
      <c r="CX39" s="5"/>
      <c r="DL39" s="25"/>
      <c r="EI39" s="2">
        <f t="shared" si="74"/>
        <v>40617</v>
      </c>
      <c r="EO39" s="129">
        <f>EI10</f>
        <v>76.441445950011058</v>
      </c>
      <c r="EP39" s="13">
        <f t="shared" si="75"/>
        <v>70.904713194833704</v>
      </c>
      <c r="EQ39" s="13">
        <f t="shared" si="75"/>
        <v>65.769011702491184</v>
      </c>
      <c r="ER39" s="13">
        <f t="shared" si="75"/>
        <v>61.005294365080282</v>
      </c>
      <c r="ES39" s="13">
        <f t="shared" si="75"/>
        <v>56.58661798667606</v>
      </c>
      <c r="ET39" s="131">
        <f t="shared" si="75"/>
        <v>52.487990894817756</v>
      </c>
      <c r="EU39" s="131">
        <f t="shared" si="75"/>
        <v>48.686231589651889</v>
      </c>
      <c r="EV39" s="131">
        <f t="shared" si="75"/>
        <v>45.159837631263699</v>
      </c>
      <c r="EW39" s="131">
        <f t="shared" si="75"/>
        <v>41.888864023634383</v>
      </c>
      <c r="EX39" s="131">
        <f t="shared" si="75"/>
        <v>38.854810407373698</v>
      </c>
      <c r="EY39" s="131">
        <f t="shared" si="75"/>
        <v>36.040516423199257</v>
      </c>
      <c r="EZ39" s="131">
        <f t="shared" si="75"/>
        <v>33.430064654346943</v>
      </c>
      <c r="FA39" s="131">
        <f t="shared" si="75"/>
        <v>31.008690598962623</v>
      </c>
      <c r="FB39" s="131">
        <f t="shared" si="76"/>
        <v>28.762699163286339</v>
      </c>
      <c r="FC39" s="131">
        <f t="shared" si="76"/>
        <v>26.679387203321291</v>
      </c>
      <c r="FD39" s="131">
        <f t="shared" si="76"/>
        <v>24.746971676889622</v>
      </c>
      <c r="FE39" s="131">
        <f t="shared" si="76"/>
        <v>22.954522999708871</v>
      </c>
      <c r="FF39" s="131">
        <f t="shared" si="76"/>
        <v>21.291903228556546</v>
      </c>
      <c r="FG39" s="131">
        <f t="shared" si="76"/>
        <v>19.749708721891821</v>
      </c>
    </row>
    <row r="40" spans="2:163" ht="16.19" customHeight="1">
      <c r="B40" s="444" t="str">
        <f>'Profils de colonie'!B198</f>
        <v>R : Ruches californiennes de Randy, divisées en 4 après la floraison des amandiers et traitées à l’acide oxalique (saisissez une réduction totale des varroas de 90 % au 1er avril, correspondant à la division en 4, au traitement oxalique et au retrait du cadre de mâles)</v>
      </c>
      <c r="C40" s="444"/>
      <c r="D40" s="444"/>
      <c r="E40" s="444"/>
      <c r="F40" s="444"/>
      <c r="G40" s="444"/>
      <c r="H40" s="444"/>
      <c r="I40" s="444"/>
      <c r="J40" s="444"/>
      <c r="K40" s="444"/>
      <c r="L40" s="444"/>
      <c r="M40" s="444"/>
      <c r="AG40" s="361" t="str">
        <f>IF($AG$39="","V","")</f>
        <v>V</v>
      </c>
      <c r="AH40" s="361" t="str">
        <f>IF($AG$39="custom","V","")</f>
        <v/>
      </c>
      <c r="AI40" s="100" t="str">
        <f>IF($AG$39="","Les valeurs par défaut en bleu s’appliquent — saisissez « custom » dans la cellule verte pour les modifier",IF(AG39="custom","Les valeurs personnalisées s’appliquent — remarquez les effets considérables de très faibles modifications de certaines variables !","Erreur"))</f>
        <v>Les valeurs par défaut en bleu s’appliquent — saisissez « custom » dans la cellule verte pour les modifier</v>
      </c>
      <c r="AY40" t="s">
        <v>157</v>
      </c>
      <c r="BB40" s="374"/>
      <c r="BG40" s="56"/>
      <c r="BO40" s="240">
        <f>AG50</f>
        <v>0.05</v>
      </c>
      <c r="BP40" s="136">
        <f>IF($AG$39="custom",AH50,IF($AG$39="",BO40,"erreur"))</f>
        <v>0.05</v>
      </c>
      <c r="BQ40" s="163" t="s">
        <v>158</v>
      </c>
      <c r="CD40" s="31"/>
      <c r="CE40" s="31"/>
      <c r="CH40" s="16"/>
      <c r="CI40" s="16"/>
      <c r="CJ40" s="32"/>
      <c r="CQ40" s="31"/>
      <c r="CR40" s="12"/>
      <c r="CS40" s="365"/>
      <c r="CT40" s="365"/>
      <c r="CU40" s="365"/>
      <c r="CV40" s="365"/>
      <c r="CW40" s="163"/>
      <c r="CX40" s="5"/>
      <c r="DL40" s="25"/>
      <c r="EI40" s="2">
        <f t="shared" si="74"/>
        <v>40634</v>
      </c>
      <c r="EP40" s="129">
        <f>EI11</f>
        <v>136.99108480094961</v>
      </c>
      <c r="EQ40" s="13">
        <f t="shared" si="75"/>
        <v>127.06867926612094</v>
      </c>
      <c r="ER40" s="13">
        <f t="shared" si="75"/>
        <v>117.86496379598263</v>
      </c>
      <c r="ES40" s="13">
        <f t="shared" si="75"/>
        <v>109.32788292804915</v>
      </c>
      <c r="ET40" s="13">
        <f t="shared" si="75"/>
        <v>101.40915163066141</v>
      </c>
      <c r="EU40" s="131">
        <f t="shared" si="75"/>
        <v>94.063982206794051</v>
      </c>
      <c r="EV40" s="131">
        <f t="shared" si="75"/>
        <v>87.250830978501497</v>
      </c>
      <c r="EW40" s="131">
        <f t="shared" si="75"/>
        <v>80.931163319270851</v>
      </c>
      <c r="EX40" s="131">
        <f t="shared" si="75"/>
        <v>75.069235705323749</v>
      </c>
      <c r="EY40" s="131">
        <f t="shared" si="75"/>
        <v>69.631893553167146</v>
      </c>
      <c r="EZ40" s="131">
        <f t="shared" si="75"/>
        <v>64.58838369997882</v>
      </c>
      <c r="FA40" s="131">
        <f t="shared" si="75"/>
        <v>59.91018046623185</v>
      </c>
      <c r="FB40" s="131">
        <f t="shared" si="76"/>
        <v>55.570824316782605</v>
      </c>
      <c r="FC40" s="131">
        <f t="shared" si="76"/>
        <v>51.545772207902502</v>
      </c>
      <c r="FD40" s="131">
        <f t="shared" si="76"/>
        <v>47.812258773828546</v>
      </c>
      <c r="FE40" s="131">
        <f t="shared" si="76"/>
        <v>44.349167567715192</v>
      </c>
      <c r="FF40" s="131">
        <f t="shared" si="76"/>
        <v>41.136911628736812</v>
      </c>
      <c r="FG40" s="131">
        <f t="shared" si="76"/>
        <v>38.157322699838083</v>
      </c>
    </row>
    <row r="41" spans="2:163" ht="16" customHeight="1">
      <c r="B41" s="444"/>
      <c r="C41" s="444"/>
      <c r="D41" s="444"/>
      <c r="E41" s="444"/>
      <c r="F41" s="444"/>
      <c r="G41" s="444"/>
      <c r="H41" s="444"/>
      <c r="I41" s="444"/>
      <c r="J41" s="444"/>
      <c r="K41" s="444"/>
      <c r="L41" s="444"/>
      <c r="M41" s="444"/>
      <c r="AG41" s="96">
        <v>1.45</v>
      </c>
      <c r="AH41" s="237">
        <v>0.4</v>
      </c>
      <c r="AI41" s="163" t="s">
        <v>159</v>
      </c>
      <c r="AX41" s="412" t="s">
        <v>14</v>
      </c>
      <c r="AY41" s="412"/>
      <c r="AZ41" s="408">
        <f>IF(AG39="custom", AH41*AH42,AG41*AG42)</f>
        <v>1.0149999999999999</v>
      </c>
      <c r="BA41" s="429" t="s">
        <v>160</v>
      </c>
      <c r="BB41" s="430"/>
      <c r="BC41" s="430"/>
      <c r="BD41" s="430"/>
      <c r="BE41" s="430"/>
      <c r="BF41" s="430"/>
      <c r="BG41" s="430"/>
      <c r="BH41" s="430"/>
      <c r="BI41" s="430"/>
      <c r="BJ41" s="431"/>
      <c r="CD41" s="31"/>
      <c r="CE41" s="31"/>
      <c r="CH41"/>
      <c r="CI41"/>
      <c r="CJ41" s="23"/>
      <c r="CQ41" s="31"/>
      <c r="CR41" s="12"/>
      <c r="CS41" s="365"/>
      <c r="CT41" s="365"/>
      <c r="CU41" s="365"/>
      <c r="CV41" s="365"/>
      <c r="CW41" s="163"/>
      <c r="CX41" s="5"/>
      <c r="DL41" s="25"/>
      <c r="EI41" s="2">
        <f t="shared" si="74"/>
        <v>40648</v>
      </c>
      <c r="EQ41" s="129">
        <f>EI12</f>
        <v>256.77636146534599</v>
      </c>
      <c r="ER41" s="13">
        <f t="shared" si="75"/>
        <v>238.17778482133318</v>
      </c>
      <c r="ES41" s="13">
        <f t="shared" si="75"/>
        <v>220.92632226215758</v>
      </c>
      <c r="ET41" s="13">
        <f t="shared" si="75"/>
        <v>204.92440092553511</v>
      </c>
      <c r="EU41" s="13">
        <f t="shared" si="75"/>
        <v>190.0815152522122</v>
      </c>
      <c r="EV41" s="131">
        <f t="shared" si="75"/>
        <v>176.31371509391974</v>
      </c>
      <c r="EW41" s="131">
        <f t="shared" si="75"/>
        <v>163.54313089819559</v>
      </c>
      <c r="EX41" s="131">
        <f t="shared" si="75"/>
        <v>151.69753328456008</v>
      </c>
      <c r="EY41" s="131">
        <f t="shared" si="75"/>
        <v>140.70992452104335</v>
      </c>
      <c r="EZ41" s="131">
        <f t="shared" si="75"/>
        <v>130.51815959048892</v>
      </c>
      <c r="FA41" s="131">
        <f t="shared" si="75"/>
        <v>121.06459470341575</v>
      </c>
      <c r="FB41" s="131">
        <f t="shared" si="76"/>
        <v>112.29576126945614</v>
      </c>
      <c r="FC41" s="131">
        <f t="shared" si="76"/>
        <v>104.16206348337855</v>
      </c>
      <c r="FD41" s="131">
        <f t="shared" si="76"/>
        <v>96.617497815266645</v>
      </c>
      <c r="FE41" s="131">
        <f t="shared" si="76"/>
        <v>89.619392818313926</v>
      </c>
      <c r="FF41" s="131">
        <f t="shared" si="76"/>
        <v>83.128167782608102</v>
      </c>
      <c r="FG41" s="131">
        <f t="shared" si="76"/>
        <v>77.107108869870743</v>
      </c>
    </row>
    <row r="42" spans="2:163" ht="16" customHeight="1">
      <c r="B42" s="444" t="str">
        <f>'Profils de colonie'!B226</f>
        <v>S : colonie essaimant en mai ; saisir une réduction des varroas de 50–60 % par « traitement » le 15 mai.</v>
      </c>
      <c r="C42" s="444"/>
      <c r="D42" s="444"/>
      <c r="E42" s="444"/>
      <c r="F42" s="444"/>
      <c r="G42" s="444"/>
      <c r="H42" s="444"/>
      <c r="I42" s="444"/>
      <c r="J42" s="444"/>
      <c r="K42" s="444"/>
      <c r="L42" s="444"/>
      <c r="M42" s="444"/>
      <c r="AG42" s="90">
        <v>0.7</v>
      </c>
      <c r="AH42" s="187">
        <v>0.7</v>
      </c>
      <c r="AI42" s="163" t="s">
        <v>161</v>
      </c>
      <c r="AW42" s="409" t="s">
        <v>14</v>
      </c>
      <c r="AX42" s="409"/>
      <c r="AY42" s="374"/>
      <c r="AZ42" s="408"/>
      <c r="BA42" s="432"/>
      <c r="BB42" s="433"/>
      <c r="BC42" s="433"/>
      <c r="BD42" s="433"/>
      <c r="BE42" s="433"/>
      <c r="BF42" s="433"/>
      <c r="BG42" s="433"/>
      <c r="BH42" s="433"/>
      <c r="BI42" s="433"/>
      <c r="BJ42" s="434"/>
      <c r="BO42" s="12">
        <v>5</v>
      </c>
      <c r="BP42" s="50">
        <f>IF($AG$39="custom",AH49,IF($AG$39="",BO42,"erreur"))</f>
        <v>5</v>
      </c>
      <c r="BQ42" t="s">
        <v>162</v>
      </c>
      <c r="CD42" s="31"/>
      <c r="CE42" s="31"/>
      <c r="CH42"/>
      <c r="CI42"/>
      <c r="CJ42" s="23"/>
      <c r="CQ42" s="31"/>
      <c r="CR42" s="12"/>
      <c r="CS42" s="365"/>
      <c r="CT42" s="365"/>
      <c r="CU42" s="365"/>
      <c r="CV42" s="365"/>
      <c r="CW42" s="163"/>
      <c r="CX42" s="5"/>
      <c r="DL42" s="25"/>
      <c r="EI42" s="2">
        <f t="shared" si="74"/>
        <v>40664</v>
      </c>
      <c r="EK42" s="130" t="s">
        <v>163</v>
      </c>
      <c r="EL42" s="130"/>
      <c r="EM42" s="130"/>
      <c r="EN42" s="130"/>
      <c r="ER42" s="129">
        <f>EI13</f>
        <v>423.6463723037383</v>
      </c>
      <c r="ES42" s="13">
        <f t="shared" si="75"/>
        <v>392.96122870140397</v>
      </c>
      <c r="ET42" s="13">
        <f t="shared" si="75"/>
        <v>364.49864169214436</v>
      </c>
      <c r="EU42" s="13">
        <f t="shared" si="75"/>
        <v>338.09762921006353</v>
      </c>
      <c r="EV42" s="13">
        <f t="shared" si="75"/>
        <v>313.60886928629998</v>
      </c>
      <c r="EW42" s="131">
        <f t="shared" si="75"/>
        <v>290.89385549617504</v>
      </c>
      <c r="EX42" s="131">
        <f t="shared" si="75"/>
        <v>269.82411357817477</v>
      </c>
      <c r="EY42" s="131">
        <f t="shared" si="75"/>
        <v>250.28047479402696</v>
      </c>
      <c r="EZ42" s="131">
        <f t="shared" si="75"/>
        <v>232.15240192005709</v>
      </c>
      <c r="FA42" s="131">
        <f t="shared" si="75"/>
        <v>215.33736405768533</v>
      </c>
      <c r="FB42" s="131">
        <f t="shared" si="76"/>
        <v>199.74025672704403</v>
      </c>
      <c r="FC42" s="131">
        <f t="shared" si="76"/>
        <v>185.27286396381231</v>
      </c>
      <c r="FD42" s="131">
        <f t="shared" si="76"/>
        <v>171.85335937693171</v>
      </c>
      <c r="FE42" s="131">
        <f t="shared" si="76"/>
        <v>159.40584334522606</v>
      </c>
      <c r="FF42" s="131">
        <f t="shared" si="76"/>
        <v>147.85991373534725</v>
      </c>
      <c r="FG42" s="131">
        <f t="shared" si="76"/>
        <v>137.15026771306296</v>
      </c>
    </row>
    <row r="43" spans="2:163" ht="16.19" customHeight="1">
      <c r="B43" s="460" t="str">
        <f>'Profils de colonie'!B254</f>
        <v xml:space="preserve">F : colonie sauvage limitée à une cavité de 40 litres (1 corps Langstroth), essaimant deux fois</v>
      </c>
      <c r="C43" s="460"/>
      <c r="D43" s="460"/>
      <c r="E43" s="460"/>
      <c r="F43" s="460"/>
      <c r="G43" s="460"/>
      <c r="H43" s="460"/>
      <c r="I43" s="460"/>
      <c r="J43" s="460"/>
      <c r="K43" s="460"/>
      <c r="L43" s="460"/>
      <c r="M43" s="460"/>
      <c r="AG43" s="96">
        <v>3.5</v>
      </c>
      <c r="AH43" s="237">
        <v>3.5</v>
      </c>
      <c r="AI43" s="163" t="s">
        <v>164</v>
      </c>
      <c r="AS43" s="410" t="s">
        <v>165</v>
      </c>
      <c r="AT43" s="385" t="s">
        <v>166</v>
      </c>
      <c r="AU43" s="385"/>
      <c r="AV43" s="385"/>
      <c r="AW43" s="385"/>
      <c r="AX43" s="385"/>
      <c r="BA43" s="435"/>
      <c r="BB43" s="436"/>
      <c r="BC43" s="436"/>
      <c r="BD43" s="436"/>
      <c r="BE43" s="436"/>
      <c r="BF43" s="436"/>
      <c r="BG43" s="436"/>
      <c r="BH43" s="436"/>
      <c r="BI43" s="436"/>
      <c r="BJ43" s="437"/>
      <c r="BO43" s="12">
        <v>5</v>
      </c>
      <c r="BP43" s="50">
        <f>IF($AG$39="custom",$AH$48,IF($AG$39="",BO43,"erreur"))</f>
        <v>5</v>
      </c>
      <c r="BQ43" t="s">
        <v>167</v>
      </c>
      <c r="CD43" s="31"/>
      <c r="CE43" s="31"/>
      <c r="CH43"/>
      <c r="CI43"/>
      <c r="CJ43" s="23"/>
      <c r="CQ43" s="31"/>
      <c r="CR43" s="12"/>
      <c r="CS43" s="365"/>
      <c r="CT43" s="365"/>
      <c r="CU43" s="365"/>
      <c r="CV43" s="365"/>
      <c r="CW43" s="163"/>
      <c r="CX43" s="5"/>
      <c r="DL43" s="25"/>
      <c r="EI43" s="2">
        <f t="shared" si="74"/>
        <v>40678</v>
      </c>
      <c r="ES43" s="129">
        <f>EI14</f>
        <v>644.9279902549581</v>
      </c>
      <c r="ET43" s="13">
        <f t="shared" si="75"/>
        <v>598.21519088286811</v>
      </c>
      <c r="EU43" s="13">
        <f t="shared" si="75"/>
        <v>554.88584773868115</v>
      </c>
      <c r="EV43" s="13">
        <f t="shared" si="75"/>
        <v>514.6948935988521</v>
      </c>
      <c r="EW43" s="13">
        <f t="shared" si="75"/>
        <v>477.41501171154624</v>
      </c>
      <c r="EX43" s="131">
        <f t="shared" si="75"/>
        <v>442.83535011166884</v>
      </c>
      <c r="EY43" s="131">
        <f t="shared" si="75"/>
        <v>410.76032905938388</v>
      </c>
      <c r="EZ43" s="131">
        <f t="shared" si="75"/>
        <v>381.00853485708973</v>
      </c>
      <c r="FA43" s="131">
        <f t="shared" si="75"/>
        <v>353.41169378837265</v>
      </c>
      <c r="FB43" s="131">
        <f t="shared" si="76"/>
        <v>327.81372037561948</v>
      </c>
      <c r="FC43" s="131">
        <f t="shared" si="76"/>
        <v>304.06983457331302</v>
      </c>
      <c r="FD43" s="131">
        <f t="shared" si="76"/>
        <v>282.04574290392748</v>
      </c>
      <c r="FE43" s="131">
        <f t="shared" si="76"/>
        <v>261.61687890499519</v>
      </c>
      <c r="FF43" s="131">
        <f t="shared" si="76"/>
        <v>242.66769859137574</v>
      </c>
      <c r="FG43" s="131">
        <f t="shared" si="76"/>
        <v>225.09102694791918</v>
      </c>
    </row>
    <row r="44" spans="2:163" ht="16.19" customHeight="1">
      <c r="B44" s="444" t="s">
        <v>168</v>
      </c>
      <c r="C44" s="444"/>
      <c r="D44" s="444"/>
      <c r="E44" s="444"/>
      <c r="F44" s="444"/>
      <c r="G44" s="444"/>
      <c r="H44" s="444"/>
      <c r="I44" s="444"/>
      <c r="J44" s="444"/>
      <c r="K44" s="444"/>
      <c r="L44" s="444"/>
      <c r="M44" s="444"/>
      <c r="AG44" s="90">
        <v>0.7</v>
      </c>
      <c r="AH44" s="187">
        <v>0.7</v>
      </c>
      <c r="AI44" s="163" t="s">
        <v>169</v>
      </c>
      <c r="AS44" s="411"/>
      <c r="AT44" s="385"/>
      <c r="AU44" s="385"/>
      <c r="AV44" s="385"/>
      <c r="AW44" s="385"/>
      <c r="AX44" s="385"/>
      <c r="BB44" s="374"/>
      <c r="BO44" s="12">
        <v>4500</v>
      </c>
      <c r="BP44" s="50">
        <v>4500</v>
      </c>
      <c r="BQ44" s="18" t="s">
        <v>170</v>
      </c>
      <c r="CD44" s="31"/>
      <c r="CE44" s="31"/>
      <c r="CH44"/>
      <c r="CI44"/>
      <c r="CJ44" s="23"/>
      <c r="CQ44" s="31"/>
      <c r="CR44" s="12"/>
      <c r="CS44" s="365"/>
      <c r="CT44" s="365"/>
      <c r="CU44" s="365"/>
      <c r="CV44" s="365"/>
      <c r="CW44" s="163"/>
      <c r="CX44" s="5"/>
      <c r="DL44" s="25"/>
      <c r="EI44" s="2">
        <f t="shared" si="74"/>
        <v>40695</v>
      </c>
      <c r="ET44" s="129">
        <f>EI15</f>
        <v>949.67325299515699</v>
      </c>
      <c r="EU44" s="13">
        <f t="shared" si="75"/>
        <v>880.88743999506471</v>
      </c>
      <c r="EV44" s="13">
        <f t="shared" si="75"/>
        <v>817.08385436123876</v>
      </c>
      <c r="EW44" s="13">
        <f t="shared" si="75"/>
        <v>757.90162822795901</v>
      </c>
      <c r="EX44" s="13">
        <f t="shared" si="75"/>
        <v>703.00603176113964</v>
      </c>
      <c r="EY44" s="131">
        <f t="shared" si="75"/>
        <v>652.08657995374494</v>
      </c>
      <c r="EZ44" s="131">
        <f t="shared" si="75"/>
        <v>604.85527654796533</v>
      </c>
      <c r="FA44" s="131">
        <f t="shared" si="75"/>
        <v>561.04498515192074</v>
      </c>
      <c r="FB44" s="131">
        <f t="shared" si="76"/>
        <v>520.40791833806122</v>
      </c>
      <c r="FC44" s="131">
        <f t="shared" si="76"/>
        <v>482.71423617772803</v>
      </c>
      <c r="FD44" s="131">
        <f t="shared" si="76"/>
        <v>447.75074628530194</v>
      </c>
      <c r="FE44" s="131">
        <f t="shared" si="76"/>
        <v>415.31969801949424</v>
      </c>
      <c r="FF44" s="131">
        <f t="shared" si="76"/>
        <v>385.23766402188159</v>
      </c>
      <c r="FG44" s="131">
        <f t="shared" si="76"/>
        <v>357.33450276675813</v>
      </c>
    </row>
    <row r="45" spans="2:163" ht="32.81" customHeight="1">
      <c r="AG45" s="97">
        <v>5.0000000000000001E-3</v>
      </c>
      <c r="AH45" s="189">
        <v>2.5000000000000001E-2</v>
      </c>
      <c r="AI45" s="163" t="s">
        <v>171</v>
      </c>
      <c r="BB45" s="374"/>
      <c r="BD45" s="440" t="s">
        <v>14</v>
      </c>
      <c r="BE45" s="441"/>
      <c r="BK45" s="163"/>
      <c r="BL45" s="163"/>
      <c r="BM45" s="5"/>
      <c r="BO45" s="12">
        <v>2000</v>
      </c>
      <c r="BP45" s="50">
        <v>2000</v>
      </c>
      <c r="BQ45" s="352" t="s">
        <v>172</v>
      </c>
      <c r="CD45" s="31"/>
      <c r="CE45" s="31"/>
      <c r="CH45"/>
      <c r="CI45"/>
      <c r="CJ45" s="23"/>
      <c r="CQ45" s="31"/>
      <c r="CR45" s="15"/>
      <c r="CS45" s="163"/>
      <c r="CT45" s="163"/>
      <c r="CU45" s="163"/>
      <c r="CV45" s="163"/>
      <c r="CW45" s="163"/>
      <c r="DL45" s="25"/>
      <c r="EI45" s="2">
        <f t="shared" si="74"/>
        <v>40709</v>
      </c>
      <c r="EU45" s="129">
        <f>EI16</f>
        <v>1349.849745856578</v>
      </c>
      <c r="EV45" s="13">
        <f t="shared" si="75"/>
        <v>1252.078736823868</v>
      </c>
      <c r="EW45" s="13">
        <f t="shared" si="75"/>
        <v>1161.3893827950697</v>
      </c>
      <c r="EX45" s="13">
        <f t="shared" si="75"/>
        <v>1077.2687521957769</v>
      </c>
      <c r="EY45" s="13">
        <f t="shared" si="75"/>
        <v>999.24106561444353</v>
      </c>
      <c r="EZ45" s="131">
        <f t="shared" si="75"/>
        <v>926.8650048329165</v>
      </c>
      <c r="FA45" s="131">
        <f t="shared" si="75"/>
        <v>859.73121676666278</v>
      </c>
      <c r="FB45" s="131">
        <f t="shared" si="76"/>
        <v>797.45999819717974</v>
      </c>
      <c r="FC45" s="131">
        <f>FB45*(1-FB$33)*EXP($BV$39*15)</f>
        <v>739.69914820162364</v>
      </c>
      <c r="FD45" s="131">
        <f t="shared" si="76"/>
        <v>686.12197613317551</v>
      </c>
      <c r="FE45" s="131">
        <f t="shared" si="76"/>
        <v>636.42545388544295</v>
      </c>
      <c r="FF45" s="131">
        <f t="shared" si="76"/>
        <v>590.32850199025654</v>
      </c>
      <c r="FG45" s="131">
        <f t="shared" si="76"/>
        <v>547.57039985517042</v>
      </c>
    </row>
    <row r="46" spans="2:163" ht="16.44">
      <c r="B46" s="467" t="s">
        <v>173</v>
      </c>
      <c r="C46" s="467"/>
      <c r="D46" s="467"/>
      <c r="E46" s="467"/>
      <c r="F46" s="467"/>
      <c r="G46" s="467"/>
      <c r="H46" s="467"/>
      <c r="AG46" s="97">
        <v>5.0000000000000001E-3</v>
      </c>
      <c r="AH46" s="189">
        <v>5.0000000000000001E-3</v>
      </c>
      <c r="AI46" s="163" t="s">
        <v>174</v>
      </c>
      <c r="BA46" s="438" t="s">
        <v>14</v>
      </c>
      <c r="BB46" s="439"/>
      <c r="BK46" s="163"/>
      <c r="BL46" s="163"/>
      <c r="BO46" s="12"/>
      <c r="BP46" s="50"/>
      <c r="BY46" s="376"/>
      <c r="CD46" s="31"/>
      <c r="CE46" s="31"/>
      <c r="CH46"/>
      <c r="CI46"/>
      <c r="CJ46" s="23"/>
      <c r="CL46" s="12"/>
      <c r="CQ46" s="31"/>
      <c r="CR46" s="15"/>
      <c r="CS46" s="163"/>
      <c r="CT46" s="163"/>
      <c r="CU46" s="163"/>
      <c r="CV46" s="163"/>
      <c r="CW46" s="163"/>
      <c r="DL46" s="25"/>
      <c r="EI46" s="2">
        <f t="shared" si="74"/>
        <v>40725</v>
      </c>
      <c r="EV46" s="129">
        <f>EI17</f>
        <v>1876.8512234657737</v>
      </c>
      <c r="EW46" s="13">
        <f t="shared" si="75"/>
        <v>1740.9089539755648</v>
      </c>
      <c r="EX46" s="13">
        <f t="shared" si="75"/>
        <v>1614.8131232457085</v>
      </c>
      <c r="EY46" s="13">
        <f t="shared" si="75"/>
        <v>1497.8505435633251</v>
      </c>
      <c r="EZ46" s="13">
        <f t="shared" si="75"/>
        <v>1389.3596841370054</v>
      </c>
      <c r="FA46" s="131">
        <f t="shared" si="75"/>
        <v>1288.7269295327199</v>
      </c>
      <c r="FB46" s="131">
        <f t="shared" si="76"/>
        <v>1195.3831091150748</v>
      </c>
      <c r="FC46" s="131">
        <f t="shared" si="76"/>
        <v>1108.8002778647167</v>
      </c>
      <c r="FD46" s="131">
        <f t="shared" si="76"/>
        <v>1028.4887303644507</v>
      </c>
      <c r="FE46" s="131">
        <f t="shared" si="76"/>
        <v>953.99423106542474</v>
      </c>
      <c r="FF46" s="131">
        <f t="shared" si="76"/>
        <v>884.89544516798958</v>
      </c>
      <c r="FG46" s="131">
        <f t="shared" si="76"/>
        <v>820.80155558650722</v>
      </c>
    </row>
    <row r="47" spans="2:163" ht="16.44">
      <c r="B47" s="294">
        <v>0</v>
      </c>
      <c r="C47" s="466" t="s">
        <v>175</v>
      </c>
      <c r="D47" s="466"/>
      <c r="E47" s="466"/>
      <c r="F47" s="466"/>
      <c r="G47" s="466"/>
      <c r="H47" s="466"/>
      <c r="AG47" s="90">
        <v>0.6</v>
      </c>
      <c r="AH47" s="187">
        <v>0.6</v>
      </c>
      <c r="AI47" s="163" t="s">
        <v>176</v>
      </c>
      <c r="BB47" s="374"/>
      <c r="BE47" s="366" t="s">
        <v>14</v>
      </c>
      <c r="BK47" s="163"/>
      <c r="BL47" s="163"/>
      <c r="BO47" s="135">
        <v>0.95</v>
      </c>
      <c r="BP47" s="136">
        <v>0.95</v>
      </c>
      <c r="BQ47" t="s">
        <v>177</v>
      </c>
      <c r="CD47" s="31"/>
      <c r="CE47" s="31"/>
      <c r="CH47"/>
      <c r="CI47"/>
      <c r="CJ47" s="23"/>
      <c r="CL47" s="12"/>
      <c r="CO47" s="374"/>
      <c r="CX47" s="16"/>
      <c r="DL47" s="25"/>
      <c r="EI47" s="2">
        <f t="shared" si="74"/>
        <v>40739</v>
      </c>
      <c r="EW47" s="129">
        <f>EI18</f>
        <v>2507.1388517134105</v>
      </c>
      <c r="EX47" s="13">
        <f t="shared" si="75"/>
        <v>2325.5441993681748</v>
      </c>
      <c r="EY47" s="13">
        <f t="shared" si="75"/>
        <v>2157.1026349493818</v>
      </c>
      <c r="EZ47" s="13">
        <f t="shared" si="75"/>
        <v>2000.8614667352961</v>
      </c>
      <c r="FA47" s="13">
        <f t="shared" si="75"/>
        <v>1855.9370074479855</v>
      </c>
      <c r="FB47" s="131">
        <f t="shared" si="76"/>
        <v>1721.5095761903012</v>
      </c>
      <c r="FC47" s="131">
        <f t="shared" si="76"/>
        <v>1596.8188623977144</v>
      </c>
      <c r="FD47" s="131">
        <f t="shared" si="76"/>
        <v>1481.1596255839033</v>
      </c>
      <c r="FE47" s="131">
        <f t="shared" si="76"/>
        <v>1373.8777065582017</v>
      </c>
      <c r="FF47" s="131">
        <f t="shared" si="76"/>
        <v>1274.3663275546803</v>
      </c>
      <c r="FG47" s="131">
        <f t="shared" si="76"/>
        <v>1182.0626603466942</v>
      </c>
    </row>
    <row r="48" spans="2:163" ht="16.44">
      <c r="B48" s="351">
        <v>1</v>
      </c>
      <c r="C48" s="466" t="s">
        <v>178</v>
      </c>
      <c r="D48" s="466"/>
      <c r="E48" s="466"/>
      <c r="F48" s="466"/>
      <c r="G48" s="466"/>
      <c r="H48" s="466"/>
      <c r="AG48" s="8">
        <v>4.5</v>
      </c>
      <c r="AH48" s="188">
        <v>4.5</v>
      </c>
      <c r="AI48" t="s">
        <v>179</v>
      </c>
      <c r="BB48" s="374"/>
      <c r="BE48" s="366" t="s">
        <v>14</v>
      </c>
      <c r="CD48" s="31"/>
      <c r="CE48" s="31"/>
      <c r="CH48"/>
      <c r="CI48"/>
      <c r="CJ48" s="23"/>
      <c r="CL48" s="12"/>
      <c r="DL48" s="25"/>
      <c r="EI48" s="2">
        <f t="shared" si="74"/>
        <v>40756</v>
      </c>
      <c r="EX48" s="129">
        <f>EI19</f>
        <v>3373.0926180785964</v>
      </c>
      <c r="EY48" s="13">
        <f t="shared" si="75"/>
        <v>3128.7760414798772</v>
      </c>
      <c r="EZ48" s="13">
        <f t="shared" si="75"/>
        <v>2902.1555664589796</v>
      </c>
      <c r="FA48" s="13">
        <f t="shared" si="75"/>
        <v>2691.9494461307258</v>
      </c>
      <c r="FB48" s="13">
        <f t="shared" si="76"/>
        <v>2496.968771858546</v>
      </c>
      <c r="FC48" s="131">
        <f t="shared" si="76"/>
        <v>2316.1107488843982</v>
      </c>
      <c r="FD48" s="131">
        <f t="shared" si="76"/>
        <v>2148.3524590117463</v>
      </c>
      <c r="FE48" s="131">
        <f t="shared" si="76"/>
        <v>1992.7450750638445</v>
      </c>
      <c r="FF48" s="131">
        <f t="shared" si="76"/>
        <v>1848.4084943947717</v>
      </c>
      <c r="FG48" s="131">
        <f t="shared" si="76"/>
        <v>1714.5263611007963</v>
      </c>
    </row>
    <row r="49" spans="2:163" ht="16.19" customHeight="1">
      <c r="B49" s="351">
        <v>2</v>
      </c>
      <c r="C49" s="466" t="s">
        <v>180</v>
      </c>
      <c r="D49" s="466"/>
      <c r="E49" s="466"/>
      <c r="F49" s="466"/>
      <c r="G49" s="466"/>
      <c r="H49" s="466"/>
      <c r="AG49" s="8">
        <v>5</v>
      </c>
      <c r="AH49" s="238">
        <v>5</v>
      </c>
      <c r="AI49" s="352" t="s">
        <v>181</v>
      </c>
      <c r="AJ49" s="163"/>
      <c r="BB49" s="442" t="s">
        <v>14</v>
      </c>
      <c r="BC49" s="443"/>
      <c r="BI49" s="16"/>
      <c r="BJ49" s="16"/>
      <c r="BO49" s="6" t="s">
        <v>182</v>
      </c>
      <c r="BW49"/>
      <c r="BX49"/>
      <c r="BY49"/>
      <c r="BZ49"/>
      <c r="CA49"/>
      <c r="CD49" s="31"/>
      <c r="CE49" s="31"/>
      <c r="CH49"/>
      <c r="CI49"/>
      <c r="CJ49" s="23"/>
      <c r="CL49" s="113"/>
      <c r="DL49" s="25"/>
      <c r="EI49" s="2">
        <f t="shared" si="74"/>
        <v>40770</v>
      </c>
      <c r="EY49" s="129">
        <f>EI20</f>
        <v>4654.8782032213294</v>
      </c>
      <c r="EZ49" s="13">
        <f t="shared" si="75"/>
        <v>4317.7205749369195</v>
      </c>
      <c r="FA49" s="13">
        <f t="shared" si="75"/>
        <v>4004.9836213399162</v>
      </c>
      <c r="FB49" s="13">
        <f t="shared" si="76"/>
        <v>3714.8985277805587</v>
      </c>
      <c r="FC49" s="13">
        <f t="shared" si="76"/>
        <v>3445.8245966781369</v>
      </c>
      <c r="FD49" s="131">
        <f t="shared" si="76"/>
        <v>3196.2399678695697</v>
      </c>
      <c r="FE49" s="131">
        <f t="shared" si="76"/>
        <v>2964.7330110927019</v>
      </c>
      <c r="FF49" s="131">
        <f t="shared" si="76"/>
        <v>2749.9943419209135</v>
      </c>
      <c r="FG49" s="131">
        <f t="shared" si="76"/>
        <v>2550.8094159918178</v>
      </c>
    </row>
    <row r="50" spans="2:163" ht="16.44">
      <c r="B50" s="351">
        <v>3</v>
      </c>
      <c r="C50" s="466" t="s">
        <v>183</v>
      </c>
      <c r="D50" s="466"/>
      <c r="E50" s="466"/>
      <c r="F50" s="466"/>
      <c r="G50" s="466"/>
      <c r="H50" s="466"/>
      <c r="AG50" s="90">
        <v>0.05</v>
      </c>
      <c r="AH50" s="254">
        <v>0.1</v>
      </c>
      <c r="AI50" s="163" t="s">
        <v>184</v>
      </c>
      <c r="BB50" s="374"/>
      <c r="BO50" s="5" t="s">
        <v>185</v>
      </c>
      <c r="BP50" t="s">
        <v>186</v>
      </c>
      <c r="BW50"/>
      <c r="BX50"/>
      <c r="BY50"/>
      <c r="BZ50"/>
      <c r="CA50"/>
      <c r="CH50"/>
      <c r="CI50"/>
      <c r="CJ50" s="23"/>
      <c r="CL50" s="12"/>
      <c r="DL50" s="25"/>
      <c r="DO50" s="79"/>
      <c r="DP50" s="276"/>
      <c r="DQ50" s="79"/>
      <c r="EI50" s="2">
        <f t="shared" si="74"/>
        <v>40787</v>
      </c>
      <c r="EZ50" s="129">
        <f>EI21</f>
        <v>5888.6121558734549</v>
      </c>
      <c r="FA50" s="13">
        <f t="shared" ref="FA50:FG51" si="77">EZ50*(1-EZ$33)*EXP($BV$39*15)</f>
        <v>5462.0939051946107</v>
      </c>
      <c r="FB50" s="13">
        <f t="shared" si="77"/>
        <v>5066.4688112302383</v>
      </c>
      <c r="FC50" s="13">
        <f t="shared" si="77"/>
        <v>4699.4992507830511</v>
      </c>
      <c r="FD50" s="131">
        <f t="shared" si="77"/>
        <v>4359.1096740113389</v>
      </c>
      <c r="FE50" s="131">
        <f t="shared" si="77"/>
        <v>4043.3748652886948</v>
      </c>
      <c r="FF50" s="131">
        <f t="shared" si="77"/>
        <v>3750.50905434178</v>
      </c>
      <c r="FG50" s="131">
        <f t="shared" si="77"/>
        <v>3478.8558160796069</v>
      </c>
    </row>
    <row r="51" spans="2:163" ht="16.44">
      <c r="B51" s="351">
        <v>4</v>
      </c>
      <c r="C51" s="465" t="s">
        <v>187</v>
      </c>
      <c r="D51" s="465"/>
      <c r="E51" s="465"/>
      <c r="F51" s="465"/>
      <c r="G51" s="465"/>
      <c r="H51" s="465"/>
      <c r="AR51" s="5"/>
      <c r="AS51" s="5"/>
      <c r="BB51" s="374"/>
      <c r="BW51"/>
      <c r="BX51"/>
      <c r="BY51"/>
      <c r="BZ51" s="14"/>
      <c r="CA51" s="14"/>
      <c r="CH51"/>
      <c r="CI51"/>
      <c r="CJ51" s="23"/>
      <c r="CL51" s="12"/>
      <c r="DL51" s="25"/>
      <c r="DO51" s="79"/>
      <c r="DP51" s="276"/>
      <c r="DQ51" s="79"/>
      <c r="EI51" s="2">
        <f t="shared" si="74"/>
        <v>40801</v>
      </c>
      <c r="FA51" s="129">
        <f>EI22</f>
        <v>8460.7426990703752</v>
      </c>
      <c r="FB51" s="13">
        <f t="shared" si="77"/>
        <v>7847.9223808139041</v>
      </c>
      <c r="FC51" s="13">
        <f t="shared" si="77"/>
        <v>7279.4892701378294</v>
      </c>
      <c r="FD51" s="13">
        <f t="shared" si="77"/>
        <v>6752.2283558258287</v>
      </c>
      <c r="FE51" s="131">
        <f t="shared" si="77"/>
        <v>6263.1574932392368</v>
      </c>
      <c r="FF51" s="131">
        <f t="shared" si="77"/>
        <v>5809.5105375507019</v>
      </c>
      <c r="FG51" s="131">
        <f t="shared" si="77"/>
        <v>5388.7216986551139</v>
      </c>
    </row>
    <row r="52" spans="2:163" ht="16.44">
      <c r="B52" s="351" t="s">
        <v>188</v>
      </c>
      <c r="C52" s="464" t="s">
        <v>189</v>
      </c>
      <c r="D52" s="464"/>
      <c r="E52" s="464"/>
      <c r="F52" s="464"/>
      <c r="G52" s="464"/>
      <c r="H52" s="464"/>
      <c r="I52" s="464"/>
      <c r="J52" s="464"/>
      <c r="AH52" s="331">
        <v>0.5</v>
      </c>
      <c r="AI52" s="163" t="s">
        <v>190</v>
      </c>
      <c r="BB52" s="221"/>
      <c r="BC52" s="104"/>
      <c r="BO52" s="6" t="s">
        <v>129</v>
      </c>
      <c r="CH52"/>
      <c r="CI52"/>
      <c r="CJ52" s="23"/>
      <c r="CL52" s="12"/>
      <c r="DL52" s="25"/>
      <c r="DM52" s="363"/>
      <c r="DO52" s="79"/>
      <c r="DP52" s="276"/>
      <c r="DQ52" s="79"/>
      <c r="EH52" s="363"/>
      <c r="EI52" s="2">
        <f t="shared" si="74"/>
        <v>40817</v>
      </c>
      <c r="FB52" s="129">
        <f>EI23</f>
        <v>0</v>
      </c>
      <c r="FC52" s="13">
        <f>FB52*(1-FB$33)*EXP($BV$39*15)</f>
        <v>0</v>
      </c>
      <c r="FD52" s="13">
        <f>FC52*(1-FC$33)*EXP($BV$39*15)</f>
        <v>0</v>
      </c>
      <c r="FE52" s="13">
        <f>FD52*(1-FD$33)*EXP($BV$39*15)</f>
        <v>0</v>
      </c>
      <c r="FF52" s="131">
        <f>FE52*(1-FE$33)*EXP($BV$39*15)</f>
        <v>0</v>
      </c>
      <c r="FG52" s="131">
        <f>FF52*(1-FF$33)*EXP($BV$39*15)</f>
        <v>0</v>
      </c>
    </row>
    <row r="53" spans="2:163" ht="16.44">
      <c r="AH53" s="332">
        <v>60</v>
      </c>
      <c r="AI53" s="163" t="s">
        <v>191</v>
      </c>
      <c r="BB53" s="374"/>
      <c r="BP53" s="7"/>
      <c r="BQ53" s="7"/>
      <c r="BU53" t="s">
        <v>192</v>
      </c>
      <c r="BV53" t="s">
        <v>193</v>
      </c>
      <c r="BW53" t="s">
        <v>194</v>
      </c>
      <c r="CH53"/>
      <c r="CI53"/>
      <c r="CJ53" s="23"/>
      <c r="CL53" s="12"/>
      <c r="DL53" s="25"/>
      <c r="DO53" s="79"/>
      <c r="DP53" s="276"/>
      <c r="DQ53" s="79"/>
      <c r="EH53" s="363"/>
      <c r="EI53" s="2">
        <f t="shared" si="74"/>
        <v>40831</v>
      </c>
      <c r="FC53" s="129">
        <f>EI24</f>
        <v>0</v>
      </c>
      <c r="FD53" s="13">
        <f>FC53*(1-FC$33)*EXP($BV$39*15)</f>
        <v>0</v>
      </c>
      <c r="FE53" s="13">
        <f>FD53*(1-FD$33)*EXP($BV$39*15)</f>
        <v>0</v>
      </c>
      <c r="FF53" s="13">
        <f>FE53*(1-FE$33)*EXP($BV$39*15)</f>
        <v>0</v>
      </c>
      <c r="FG53" s="131">
        <f>FF53*(1-FF$33)*EXP($BV$39*15)</f>
        <v>0</v>
      </c>
    </row>
    <row r="54" spans="2:163" ht="16.44">
      <c r="AK54" s="191"/>
      <c r="AL54" s="191"/>
      <c r="AM54" s="191"/>
      <c r="BB54" s="374"/>
      <c r="BD54" s="174"/>
      <c r="BE54" s="174"/>
      <c r="BF54" s="174"/>
      <c r="BG54" s="174"/>
      <c r="BL54" s="49"/>
      <c r="BM54" s="5"/>
      <c r="BO54" t="s">
        <v>195</v>
      </c>
      <c r="BP54" s="374">
        <f>BP30</f>
        <v>1.3774999999999999</v>
      </c>
      <c r="BQ54" t="s">
        <v>196</v>
      </c>
      <c r="BU54">
        <v>0</v>
      </c>
      <c r="BV54" s="163">
        <f>BU54+12</f>
        <v>12</v>
      </c>
      <c r="BW54" s="23">
        <f>$BP$58/BV54</f>
        <v>2.6536295761255119E-2</v>
      </c>
      <c r="CH54"/>
      <c r="CI54"/>
      <c r="CJ54" s="23"/>
      <c r="CL54" s="12"/>
      <c r="DL54" s="25"/>
      <c r="DM54" s="363"/>
      <c r="DO54" s="79"/>
      <c r="DP54" s="276"/>
      <c r="DQ54" s="79"/>
      <c r="EH54" s="363"/>
      <c r="EI54" s="2">
        <f t="shared" si="74"/>
        <v>40848</v>
      </c>
      <c r="FD54" s="129">
        <f>EI25</f>
        <v>0</v>
      </c>
      <c r="FE54" s="13">
        <f>FD54*(1-FD$33)*EXP($BV$39*15)</f>
        <v>0</v>
      </c>
      <c r="FF54" s="13">
        <f>FE54*(1-FE$33)*EXP($BV$39*15)</f>
        <v>0</v>
      </c>
      <c r="FG54" s="13">
        <f>FF54*(1-FF$33)*EXP($BV$39*15)</f>
        <v>0</v>
      </c>
    </row>
    <row r="55" spans="2:163" ht="16.19" customHeight="1">
      <c r="BB55" s="374"/>
      <c r="BO55" t="s">
        <v>197</v>
      </c>
      <c r="BP55" s="37">
        <f>BP31</f>
        <v>0.7</v>
      </c>
      <c r="BQ55" t="s">
        <v>198</v>
      </c>
      <c r="BU55">
        <v>1</v>
      </c>
      <c r="BV55" s="163">
        <f t="shared" ref="BV55:BV69" si="78">BU55+12</f>
        <v>13</v>
      </c>
      <c r="BW55" s="23">
        <f t="shared" ref="BW55:BW69" si="79">$BP$58/BV55</f>
        <v>2.4495042241158574E-2</v>
      </c>
      <c r="CH55"/>
      <c r="CI55"/>
      <c r="CJ55" s="23"/>
      <c r="CL55" s="12"/>
      <c r="DL55" s="25"/>
      <c r="DO55"/>
      <c r="DP55" s="374"/>
      <c r="DQ55"/>
      <c r="EI55" s="2">
        <f t="shared" si="74"/>
        <v>40862</v>
      </c>
      <c r="FE55" s="129">
        <f>EI26</f>
        <v>0</v>
      </c>
      <c r="FF55" s="13">
        <f>FE55*(1-FE$33)*EXP($BV$39*15)</f>
        <v>0</v>
      </c>
      <c r="FG55" s="13">
        <f>FF55*(1-FF$33)*EXP($BV$39*15)</f>
        <v>0</v>
      </c>
    </row>
    <row r="56" spans="2:163" ht="16.19" customHeight="1">
      <c r="AG56" s="403" t="s">
        <v>124</v>
      </c>
      <c r="AH56" s="403"/>
      <c r="AI56" t="s">
        <v>199</v>
      </c>
      <c r="AN56" s="6"/>
      <c r="AP56" s="6"/>
      <c r="AY56" s="353">
        <f>(LN(BA22/BA12))/(AZ22-AZ12)</f>
        <v>2.5821933470801573E-2</v>
      </c>
      <c r="BB56" s="374"/>
      <c r="BN56" s="49"/>
      <c r="BO56" t="s">
        <v>197</v>
      </c>
      <c r="BP56" s="87">
        <v>0.7</v>
      </c>
      <c r="BQ56" t="s">
        <v>200</v>
      </c>
      <c r="BU56">
        <v>2</v>
      </c>
      <c r="BV56" s="163">
        <f t="shared" si="78"/>
        <v>14</v>
      </c>
      <c r="BW56" s="23">
        <f t="shared" si="79"/>
        <v>2.2745396366790103E-2</v>
      </c>
      <c r="CH56"/>
      <c r="CI56"/>
      <c r="CJ56" s="23"/>
      <c r="CL56" s="12"/>
      <c r="DL56" s="25"/>
      <c r="EI56" s="2">
        <f t="shared" si="74"/>
        <v>40878</v>
      </c>
      <c r="FF56" s="129">
        <f>EI27</f>
        <v>0</v>
      </c>
      <c r="FG56" s="13">
        <f>FF56*(1-FF$33)*EXP($BV$39*15)</f>
        <v>0</v>
      </c>
    </row>
    <row r="57" spans="2:163" ht="16.44">
      <c r="AG57" s="6" t="s">
        <v>201</v>
      </c>
      <c r="AK57" s="191"/>
      <c r="BB57" s="374"/>
      <c r="BJ57" s="191"/>
      <c r="BK57" s="191"/>
      <c r="BL57" s="191"/>
      <c r="BM57" s="191"/>
      <c r="BN57" s="49"/>
      <c r="BO57" t="s">
        <v>202</v>
      </c>
      <c r="BP57" s="69">
        <f>(1+($BP$54*$BP$55))*$BP$56</f>
        <v>1.3749749999999998</v>
      </c>
      <c r="BQ57" s="69"/>
      <c r="BU57">
        <v>3</v>
      </c>
      <c r="BV57" s="163">
        <f t="shared" si="78"/>
        <v>15</v>
      </c>
      <c r="BW57" s="23">
        <f t="shared" si="79"/>
        <v>2.1229036609004097E-2</v>
      </c>
      <c r="CH57"/>
      <c r="CI57"/>
      <c r="CJ57" s="23"/>
      <c r="DL57" s="25"/>
      <c r="EI57" s="2">
        <f t="shared" si="74"/>
        <v>40892</v>
      </c>
      <c r="EO57" s="368"/>
      <c r="FG57" s="129">
        <f>EI28</f>
        <v>0</v>
      </c>
    </row>
    <row r="58" spans="2:163" ht="16.19" customHeight="1">
      <c r="AG58" t="s">
        <v>203</v>
      </c>
      <c r="AN58" s="352"/>
      <c r="BB58" s="374"/>
      <c r="BJ58" s="191"/>
      <c r="BK58" s="191"/>
      <c r="BL58" s="191"/>
      <c r="BM58" s="191"/>
      <c r="BO58" s="5" t="s">
        <v>204</v>
      </c>
      <c r="BP58">
        <f>LN(BP57)</f>
        <v>0.31843554913506145</v>
      </c>
      <c r="BU58">
        <v>4</v>
      </c>
      <c r="BV58" s="163">
        <f t="shared" si="78"/>
        <v>16</v>
      </c>
      <c r="BW58" s="23">
        <f t="shared" si="79"/>
        <v>1.990222182094134E-2</v>
      </c>
      <c r="CH58"/>
      <c r="CI58"/>
      <c r="CJ58" s="23"/>
      <c r="DL58" s="25"/>
      <c r="EI58" s="132" t="s">
        <v>205</v>
      </c>
      <c r="EJ58" s="132"/>
      <c r="EK58" s="132"/>
      <c r="EL58" s="132"/>
      <c r="EM58" s="132"/>
      <c r="EN58" s="132"/>
      <c r="EO58" s="133">
        <f>SUM(EO34)</f>
        <v>34.332154659360008</v>
      </c>
      <c r="EP58" s="133">
        <f>SUM(EP34:EP35)</f>
        <v>42.563472754352446</v>
      </c>
      <c r="EQ58" s="133">
        <f>SUM(EQ34:EQ36)</f>
        <v>53.536682428122376</v>
      </c>
      <c r="ER58" s="133">
        <f>SUM(ER34:ER37)</f>
        <v>71.477407311172414</v>
      </c>
      <c r="ES58" s="133">
        <f>SUM(ES34:ES38)</f>
        <v>96.397033107141539</v>
      </c>
      <c r="ET58" s="133">
        <f>SUM(ET34:ET39)</f>
        <v>141.90288749115524</v>
      </c>
      <c r="EU58" s="133">
        <f>SUM(EU34:EU40)</f>
        <v>225.6886972293081</v>
      </c>
      <c r="EV58" s="133">
        <f>SUM(EV34:EV41)</f>
        <v>385.65554725686093</v>
      </c>
      <c r="EW58" s="133">
        <f>SUM(EW34:EW42)</f>
        <v>648.61597378428939</v>
      </c>
      <c r="EX58" s="133">
        <f>SUM(EX34:EX43)</f>
        <v>1044.4714000738577</v>
      </c>
      <c r="EY58" s="133">
        <f>SUM(EY34:EY44)</f>
        <v>1620.9058394804883</v>
      </c>
      <c r="EZ58" s="133">
        <f>SUM(EZ34:EZ45)</f>
        <v>2430.3669629114393</v>
      </c>
      <c r="FA58" s="133">
        <f>SUM(FA34:FA46)</f>
        <v>3543.0599071706147</v>
      </c>
      <c r="FB58" s="133">
        <f>SUM(FB34:FB47)</f>
        <v>5007.9420007461085</v>
      </c>
      <c r="FC58" s="133">
        <f>SUM(FC34:FC48)</f>
        <v>6961.3223464184603</v>
      </c>
      <c r="FD58" s="133">
        <f>SUM(FD34:FD49)</f>
        <v>9653.3465583489233</v>
      </c>
      <c r="FE58" s="133">
        <f>SUM(FE34:FE50)</f>
        <v>12997.51957806236</v>
      </c>
      <c r="FF58" s="133">
        <f>SUM(FF34:FF51)</f>
        <v>17865.60636977003</v>
      </c>
      <c r="FG58" s="133">
        <f>SUM(FG34:FG52)</f>
        <v>16571.582077721738</v>
      </c>
    </row>
    <row r="59" spans="2:163" ht="16.44">
      <c r="AG59" t="s">
        <v>206</v>
      </c>
      <c r="BB59" s="374"/>
      <c r="BO59" s="5" t="s">
        <v>207</v>
      </c>
      <c r="BP59" s="6">
        <f>BP58/12</f>
        <v>2.6536295761255119E-2</v>
      </c>
      <c r="BU59">
        <v>5</v>
      </c>
      <c r="BV59" s="163">
        <f t="shared" si="78"/>
        <v>17</v>
      </c>
      <c r="BW59" s="66">
        <f t="shared" si="79"/>
        <v>1.8731502890297732E-2</v>
      </c>
      <c r="BX59" s="413" t="s">
        <v>208</v>
      </c>
      <c r="CH59"/>
      <c r="CI59"/>
      <c r="CJ59" s="23"/>
      <c r="EI59" t="s">
        <v>209</v>
      </c>
      <c r="EJ59" s="13">
        <f t="shared" ref="EJ59:FG59" si="80">SUM(EJ34:EJ57)</f>
        <v>50</v>
      </c>
      <c r="EK59" s="13">
        <f t="shared" si="80"/>
        <v>61.987767992808358</v>
      </c>
      <c r="EL59" s="13">
        <f t="shared" si="80"/>
        <v>77.968719061340124</v>
      </c>
      <c r="EM59" s="13">
        <f t="shared" si="80"/>
        <v>104.0968852965444</v>
      </c>
      <c r="EN59" s="13">
        <f t="shared" si="80"/>
        <v>140.38884838948019</v>
      </c>
      <c r="EO59" s="13">
        <f t="shared" si="80"/>
        <v>206.66178528423376</v>
      </c>
      <c r="EP59" s="13">
        <f t="shared" si="80"/>
        <v>328.684143871201</v>
      </c>
      <c r="EQ59" s="13">
        <f t="shared" si="80"/>
        <v>561.65357386289077</v>
      </c>
      <c r="ER59" s="13">
        <f t="shared" si="80"/>
        <v>944.61879864486843</v>
      </c>
      <c r="ES59" s="13">
        <f t="shared" si="80"/>
        <v>1521.1270752403864</v>
      </c>
      <c r="ET59" s="13">
        <f t="shared" si="80"/>
        <v>2360.623525617521</v>
      </c>
      <c r="EU59" s="13">
        <f t="shared" si="80"/>
        <v>3539.4908752819078</v>
      </c>
      <c r="EV59" s="13">
        <f t="shared" si="80"/>
        <v>5159.9731247928939</v>
      </c>
      <c r="EW59" s="13">
        <f t="shared" si="80"/>
        <v>7293.3698022078406</v>
      </c>
      <c r="EX59" s="13">
        <f t="shared" si="80"/>
        <v>10138.196124723254</v>
      </c>
      <c r="EY59" s="13">
        <f t="shared" si="80"/>
        <v>14058.754328308845</v>
      </c>
      <c r="EZ59" s="13">
        <f t="shared" si="80"/>
        <v>18929.076411053094</v>
      </c>
      <c r="FA59" s="13">
        <f t="shared" si="80"/>
        <v>26018.766586354228</v>
      </c>
      <c r="FB59" s="13">
        <f t="shared" si="80"/>
        <v>24134.200492429354</v>
      </c>
      <c r="FC59" s="13">
        <f t="shared" si="80"/>
        <v>22386.13546401748</v>
      </c>
      <c r="FD59" s="13">
        <f t="shared" si="80"/>
        <v>20764.68458818609</v>
      </c>
      <c r="FE59" s="13">
        <f t="shared" si="80"/>
        <v>19260.677071301598</v>
      </c>
      <c r="FF59" s="13">
        <f t="shared" si="80"/>
        <v>17865.60636977003</v>
      </c>
      <c r="FG59" s="13">
        <f t="shared" si="80"/>
        <v>16571.582077721738</v>
      </c>
    </row>
    <row r="60" spans="2:163" ht="16.44">
      <c r="AN60" s="6"/>
      <c r="AO60" s="6"/>
      <c r="AP60" s="6"/>
      <c r="BB60" s="374"/>
      <c r="BO60" s="5" t="s">
        <v>210</v>
      </c>
      <c r="BP60">
        <f>BP58/17</f>
        <v>1.8731502890297732E-2</v>
      </c>
      <c r="BU60">
        <v>6</v>
      </c>
      <c r="BV60" s="163">
        <f t="shared" si="78"/>
        <v>18</v>
      </c>
      <c r="BW60" s="66">
        <f t="shared" si="79"/>
        <v>1.7690863840836749E-2</v>
      </c>
      <c r="BX60" s="413"/>
      <c r="CH60"/>
      <c r="CI60"/>
      <c r="CJ60" s="23"/>
      <c r="EI60" t="s">
        <v>211</v>
      </c>
      <c r="EJ60" s="31">
        <f t="shared" ref="EJ60:FG60" si="81">IF(EJ59=0,0,IF(EJ58/EJ59=1,0.99,EJ58/EJ59))</f>
        <v>0</v>
      </c>
      <c r="EK60" s="31">
        <f t="shared" si="81"/>
        <v>0</v>
      </c>
      <c r="EL60" s="31">
        <f t="shared" si="81"/>
        <v>0</v>
      </c>
      <c r="EM60" s="31">
        <f t="shared" si="81"/>
        <v>0</v>
      </c>
      <c r="EN60" s="31">
        <f t="shared" si="81"/>
        <v>0</v>
      </c>
      <c r="EO60" s="31">
        <f t="shared" si="81"/>
        <v>0.16612725285490509</v>
      </c>
      <c r="EP60" s="31">
        <f t="shared" si="81"/>
        <v>0.12949658067786646</v>
      </c>
      <c r="EQ60" s="31">
        <f t="shared" si="81"/>
        <v>9.531975744392146E-2</v>
      </c>
      <c r="ER60" s="31">
        <f t="shared" si="81"/>
        <v>7.5667991589530609E-2</v>
      </c>
      <c r="ES60" s="31">
        <f t="shared" si="81"/>
        <v>6.3372110506880394E-2</v>
      </c>
      <c r="ET60" s="31">
        <f t="shared" si="81"/>
        <v>6.0112460098454092E-2</v>
      </c>
      <c r="EU60" s="31">
        <f t="shared" si="81"/>
        <v>6.3763039708735744E-2</v>
      </c>
      <c r="EV60" s="31">
        <f t="shared" si="81"/>
        <v>7.4739836415783661E-2</v>
      </c>
      <c r="EW60" s="31">
        <f t="shared" si="81"/>
        <v>8.8932275666035898E-2</v>
      </c>
      <c r="EX60" s="31">
        <f t="shared" si="81"/>
        <v>0.10302339659091661</v>
      </c>
      <c r="EY60" s="31">
        <f t="shared" si="81"/>
        <v>0.11529512513186296</v>
      </c>
      <c r="EZ60" s="31">
        <f t="shared" si="81"/>
        <v>0.12839331989236916</v>
      </c>
      <c r="FA60" s="31">
        <f t="shared" si="81"/>
        <v>0.13617324616105375</v>
      </c>
      <c r="FB60" s="31">
        <f t="shared" si="81"/>
        <v>0.20750395283726294</v>
      </c>
      <c r="FC60" s="31">
        <f t="shared" si="81"/>
        <v>0.31096579209072478</v>
      </c>
      <c r="FD60" s="31">
        <f t="shared" si="81"/>
        <v>0.4648925206328981</v>
      </c>
      <c r="FE60" s="31">
        <f t="shared" si="81"/>
        <v>0.67482153041383264</v>
      </c>
      <c r="FF60" s="31">
        <f t="shared" si="81"/>
        <v>0.99</v>
      </c>
      <c r="FG60" s="31">
        <f t="shared" si="81"/>
        <v>0.99</v>
      </c>
    </row>
    <row r="61" spans="2:163" ht="16.19" customHeight="1">
      <c r="AG61" s="354" t="s">
        <v>212</v>
      </c>
      <c r="AH61" s="140" t="s">
        <v>213</v>
      </c>
      <c r="AW61" s="44" t="s">
        <v>214</v>
      </c>
      <c r="AX61" s="44"/>
      <c r="AY61" s="5"/>
      <c r="BA61" s="5"/>
      <c r="BB61" s="374"/>
      <c r="BU61">
        <v>7</v>
      </c>
      <c r="BV61" s="163">
        <f t="shared" si="78"/>
        <v>19</v>
      </c>
      <c r="BW61" s="66">
        <f t="shared" si="79"/>
        <v>1.6759765743950602E-2</v>
      </c>
      <c r="BX61" s="413"/>
      <c r="EI61" s="16"/>
    </row>
    <row r="62" spans="2:163" ht="16.44">
      <c r="AG62" s="23">
        <v>2.4E-2</v>
      </c>
      <c r="AH62" s="14">
        <f>(LN(2))/AG62</f>
        <v>28.881132523331054</v>
      </c>
      <c r="AN62" s="191"/>
      <c r="AX62" s="5" t="s">
        <v>215</v>
      </c>
      <c r="AY62" s="5" t="s">
        <v>216</v>
      </c>
      <c r="AZ62" s="55" t="s">
        <v>217</v>
      </c>
      <c r="BA62" s="5"/>
      <c r="BB62" s="374"/>
      <c r="BO62" s="6" t="s">
        <v>137</v>
      </c>
      <c r="BR62" s="352"/>
      <c r="BU62">
        <v>8</v>
      </c>
      <c r="BV62" s="163">
        <f t="shared" si="78"/>
        <v>20</v>
      </c>
      <c r="BW62" s="66">
        <f t="shared" si="79"/>
        <v>1.5921777456753071E-2</v>
      </c>
      <c r="BX62" s="413"/>
    </row>
    <row r="63" spans="2:163">
      <c r="AG63" s="23">
        <f t="shared" ref="AG63:AG84" si="82">AG62-0.001</f>
        <v>2.3E-2</v>
      </c>
      <c r="AH63" s="14">
        <f>(LN(2))/AG63</f>
        <v>30.136833937388925</v>
      </c>
      <c r="BB63" s="374"/>
      <c r="BN63" s="414" t="s">
        <v>218</v>
      </c>
      <c r="BO63" s="69" t="s">
        <v>195</v>
      </c>
      <c r="BP63" s="374">
        <f>BP32</f>
        <v>3.5</v>
      </c>
      <c r="BQ63" t="s">
        <v>196</v>
      </c>
      <c r="BR63" s="352"/>
      <c r="BU63">
        <v>9</v>
      </c>
      <c r="BV63" s="163">
        <f t="shared" si="78"/>
        <v>21</v>
      </c>
      <c r="BW63" s="66">
        <f t="shared" si="79"/>
        <v>1.516359757786007E-2</v>
      </c>
      <c r="BX63" s="413"/>
    </row>
    <row r="64" spans="2:163" ht="16.44">
      <c r="AG64" s="23">
        <f t="shared" si="82"/>
        <v>2.1999999999999999E-2</v>
      </c>
      <c r="AH64" s="14">
        <f>(LN(2))/AG64</f>
        <v>31.506690025452059</v>
      </c>
      <c r="AX64" s="5"/>
      <c r="AZ64" s="30"/>
      <c r="BB64" s="374"/>
      <c r="BN64" s="414"/>
      <c r="BO64" s="69" t="s">
        <v>197</v>
      </c>
      <c r="BP64" s="38">
        <f>BP33</f>
        <v>0.7</v>
      </c>
      <c r="BQ64" t="s">
        <v>219</v>
      </c>
      <c r="BR64" s="40"/>
      <c r="BU64">
        <v>10</v>
      </c>
      <c r="BV64" s="163">
        <f t="shared" si="78"/>
        <v>22</v>
      </c>
      <c r="BW64" s="66">
        <f t="shared" si="79"/>
        <v>1.4474343142502793E-2</v>
      </c>
      <c r="BX64" s="413"/>
    </row>
    <row r="65" spans="33:148" ht="16.44">
      <c r="AG65" s="23">
        <f t="shared" si="82"/>
        <v>2.0999999999999998E-2</v>
      </c>
      <c r="AH65" s="14">
        <f t="shared" ref="AH65:AH81" si="83">(LN(2))/AG65</f>
        <v>33.007008598092639</v>
      </c>
      <c r="AU65" s="56"/>
      <c r="AV65" s="56"/>
      <c r="AX65" s="83" t="s">
        <v>220</v>
      </c>
      <c r="AY65">
        <v>1993</v>
      </c>
      <c r="AZ65" s="28">
        <v>3.0571428571428572E-2</v>
      </c>
      <c r="BB65" s="374"/>
      <c r="BN65" s="414"/>
      <c r="BO65" s="69" t="s">
        <v>221</v>
      </c>
      <c r="BP65" s="374">
        <v>0.7</v>
      </c>
      <c r="BQ65" t="s">
        <v>200</v>
      </c>
      <c r="BU65">
        <v>11</v>
      </c>
      <c r="BV65" s="163">
        <f t="shared" si="78"/>
        <v>23</v>
      </c>
      <c r="BW65" s="66">
        <f t="shared" si="79"/>
        <v>1.3845023875437455E-2</v>
      </c>
      <c r="BX65" s="413"/>
    </row>
    <row r="66" spans="33:148" ht="16.44">
      <c r="AG66" s="23">
        <f t="shared" si="82"/>
        <v>1.9999999999999997E-2</v>
      </c>
      <c r="AH66" s="14">
        <f t="shared" si="83"/>
        <v>34.657359027997266</v>
      </c>
      <c r="AU66" s="359"/>
      <c r="AV66" s="359"/>
      <c r="AX66" s="83" t="s">
        <v>222</v>
      </c>
      <c r="AY66">
        <v>2007</v>
      </c>
      <c r="AZ66" s="28">
        <v>2.7285714285714285E-2</v>
      </c>
      <c r="BB66" s="374"/>
      <c r="BO66" t="s">
        <v>202</v>
      </c>
      <c r="BP66">
        <f>(1+(BP63*BP64))*BP65</f>
        <v>2.4149999999999996</v>
      </c>
      <c r="BU66">
        <v>12</v>
      </c>
      <c r="BV66" s="163">
        <f t="shared" si="78"/>
        <v>24</v>
      </c>
      <c r="BW66" s="66">
        <f t="shared" si="79"/>
        <v>1.326814788062756E-2</v>
      </c>
      <c r="BX66" s="413"/>
    </row>
    <row r="67" spans="33:148" ht="16.44">
      <c r="AG67" s="23">
        <f>AG66-0.001</f>
        <v>1.8999999999999996E-2</v>
      </c>
      <c r="AH67" s="14">
        <f t="shared" si="83"/>
        <v>36.481430555786602</v>
      </c>
      <c r="AR67" s="213"/>
      <c r="AS67" s="213"/>
      <c r="AT67" s="213"/>
      <c r="AU67" s="214"/>
      <c r="AV67" s="214"/>
      <c r="AW67" s="213"/>
      <c r="AX67" s="215" t="s">
        <v>223</v>
      </c>
      <c r="AZ67" s="30">
        <v>2.3E-2</v>
      </c>
      <c r="BB67" s="374"/>
      <c r="BO67" s="5" t="s">
        <v>204</v>
      </c>
      <c r="BP67">
        <f>LN(BP66)</f>
        <v>0.88169928710453582</v>
      </c>
      <c r="BU67">
        <v>13</v>
      </c>
      <c r="BV67" s="163">
        <f t="shared" si="78"/>
        <v>25</v>
      </c>
      <c r="BW67" s="66">
        <f t="shared" si="79"/>
        <v>1.2737421965402458E-2</v>
      </c>
      <c r="BX67" s="413"/>
    </row>
    <row r="68" spans="33:148" ht="16.44">
      <c r="AG68" s="23">
        <f t="shared" si="82"/>
        <v>1.7999999999999995E-2</v>
      </c>
      <c r="AH68" s="14">
        <f t="shared" si="83"/>
        <v>38.508176697774751</v>
      </c>
      <c r="AU68" s="359"/>
      <c r="AV68" s="359"/>
      <c r="AX68" s="83" t="s">
        <v>224</v>
      </c>
      <c r="AY68">
        <v>1999</v>
      </c>
      <c r="AZ68" s="28">
        <v>2.2936022002005126E-2</v>
      </c>
      <c r="BB68" s="374"/>
      <c r="BO68" s="5" t="s">
        <v>207</v>
      </c>
      <c r="BP68" s="6">
        <f>BP67/15</f>
        <v>5.8779952473635724E-2</v>
      </c>
      <c r="BU68">
        <v>14</v>
      </c>
      <c r="BV68" s="163">
        <f t="shared" si="78"/>
        <v>26</v>
      </c>
      <c r="BW68" s="66">
        <f t="shared" si="79"/>
        <v>1.2247521120579287E-2</v>
      </c>
      <c r="BX68" s="413"/>
      <c r="CD68" s="26"/>
      <c r="CE68" s="26"/>
    </row>
    <row r="69" spans="33:148" ht="16" customHeight="1">
      <c r="AG69" s="23">
        <f t="shared" si="82"/>
        <v>1.6999999999999994E-2</v>
      </c>
      <c r="AH69" s="14">
        <f t="shared" si="83"/>
        <v>40.773363562349736</v>
      </c>
      <c r="AV69" s="49"/>
      <c r="AW69" s="49"/>
      <c r="AX69" s="83" t="s">
        <v>225</v>
      </c>
      <c r="AY69">
        <v>2002</v>
      </c>
      <c r="AZ69" s="28">
        <v>2.2714285714285715E-2</v>
      </c>
      <c r="BB69" s="374"/>
      <c r="BO69" s="5"/>
      <c r="BU69">
        <v>15</v>
      </c>
      <c r="BV69" s="163">
        <f t="shared" si="78"/>
        <v>27</v>
      </c>
      <c r="BW69" s="66">
        <f t="shared" si="79"/>
        <v>1.1793909227224498E-2</v>
      </c>
      <c r="BX69" s="413"/>
      <c r="BY69"/>
      <c r="BZ69"/>
      <c r="CA69"/>
      <c r="CD69" s="26"/>
      <c r="CE69" s="26"/>
    </row>
    <row r="70" spans="33:148" ht="16" customHeight="1">
      <c r="AG70" s="23">
        <f t="shared" si="82"/>
        <v>1.5999999999999993E-2</v>
      </c>
      <c r="AH70" s="14">
        <f t="shared" si="83"/>
        <v>43.321698784996599</v>
      </c>
      <c r="AU70" s="49"/>
      <c r="AV70" s="49"/>
      <c r="AW70" s="49"/>
      <c r="AX70" s="83" t="s">
        <v>226</v>
      </c>
      <c r="AY70">
        <v>1994</v>
      </c>
      <c r="AZ70" s="216">
        <v>2.1428571428571429E-2</v>
      </c>
      <c r="BA70" s="415" t="s">
        <v>227</v>
      </c>
      <c r="BB70" s="374"/>
      <c r="CD70" s="26"/>
      <c r="CE70" s="26"/>
    </row>
    <row r="71" spans="33:148" ht="16" customHeight="1">
      <c r="AG71" s="23">
        <f t="shared" si="82"/>
        <v>1.4999999999999993E-2</v>
      </c>
      <c r="AH71" s="14">
        <f t="shared" si="83"/>
        <v>46.209812037329712</v>
      </c>
      <c r="AU71" s="49"/>
      <c r="AV71" s="49"/>
      <c r="AW71" s="49"/>
      <c r="AX71" s="83" t="s">
        <v>228</v>
      </c>
      <c r="AY71" s="16">
        <v>1997</v>
      </c>
      <c r="AZ71" s="217">
        <v>2.1428571428571429E-2</v>
      </c>
      <c r="BA71" s="415"/>
      <c r="BB71" s="374"/>
      <c r="BO71" s="6" t="s">
        <v>229</v>
      </c>
      <c r="BP71" s="6"/>
      <c r="BQ71" s="6"/>
      <c r="BR71" s="6"/>
      <c r="BS71" s="6"/>
      <c r="CD71" s="26"/>
      <c r="CE71" s="26"/>
    </row>
    <row r="72" spans="33:148" ht="16" customHeight="1">
      <c r="AG72" s="23">
        <f t="shared" si="82"/>
        <v>1.3999999999999992E-2</v>
      </c>
      <c r="AH72" s="14">
        <f t="shared" si="83"/>
        <v>49.51051289713898</v>
      </c>
      <c r="AV72" s="126"/>
      <c r="AW72" s="126"/>
      <c r="AX72" s="5" t="s">
        <v>230</v>
      </c>
      <c r="AY72">
        <v>1999</v>
      </c>
      <c r="AZ72" s="218">
        <v>2.1000000000000001E-2</v>
      </c>
      <c r="BA72" s="415"/>
      <c r="BB72" s="374"/>
      <c r="BO72" s="53">
        <v>5.0000000000000001E-3</v>
      </c>
      <c r="BP72" t="s">
        <v>231</v>
      </c>
      <c r="BQ72" s="41">
        <f>1-BO72</f>
        <v>0.995</v>
      </c>
      <c r="BR72" t="s">
        <v>232</v>
      </c>
      <c r="BT72" t="s">
        <v>233</v>
      </c>
      <c r="CD72" s="26"/>
      <c r="CE72" s="26"/>
      <c r="ER72" s="14"/>
    </row>
    <row r="73" spans="33:148" ht="16.44">
      <c r="AG73" s="23">
        <f t="shared" si="82"/>
        <v>1.2999999999999991E-2</v>
      </c>
      <c r="AH73" s="14">
        <f t="shared" si="83"/>
        <v>53.319013889226596</v>
      </c>
      <c r="AU73" s="126"/>
      <c r="AV73" s="126"/>
      <c r="AW73" s="126"/>
      <c r="AX73" s="83" t="s">
        <v>222</v>
      </c>
      <c r="AY73">
        <v>2007</v>
      </c>
      <c r="AZ73" s="216">
        <v>2.0714285714285713E-2</v>
      </c>
      <c r="BA73" s="415"/>
      <c r="BB73" s="374"/>
      <c r="BO73">
        <f>LN(BQ72)</f>
        <v>-5.0125418235442863E-3</v>
      </c>
      <c r="BP73" t="s">
        <v>234</v>
      </c>
      <c r="CD73" s="26"/>
      <c r="CE73" s="26"/>
    </row>
    <row r="74" spans="33:148" ht="16.44">
      <c r="AG74" s="23">
        <f t="shared" si="82"/>
        <v>1.199999999999999E-2</v>
      </c>
      <c r="AH74" s="14">
        <f t="shared" si="83"/>
        <v>57.762265046662158</v>
      </c>
      <c r="AU74" s="126"/>
      <c r="AV74" s="126"/>
      <c r="AW74" s="126"/>
      <c r="AX74" s="83" t="s">
        <v>235</v>
      </c>
      <c r="AY74">
        <v>1996</v>
      </c>
      <c r="AZ74" s="216">
        <v>1.9857142857142858E-2</v>
      </c>
      <c r="BA74" s="415"/>
      <c r="BB74" s="374"/>
      <c r="BO74" s="42">
        <f>100*EXP(BO73*100)</f>
        <v>60.577043649072792</v>
      </c>
      <c r="BP74" s="43" t="s">
        <v>236</v>
      </c>
      <c r="BQ74" s="43"/>
      <c r="BR74" s="43"/>
      <c r="CA74"/>
      <c r="CB74"/>
      <c r="CC74"/>
      <c r="CD74"/>
      <c r="CE74"/>
      <c r="CF74"/>
    </row>
    <row r="75" spans="33:148" ht="16" customHeight="1">
      <c r="AG75" s="23">
        <f t="shared" si="82"/>
        <v>1.0999999999999989E-2</v>
      </c>
      <c r="AH75" s="14">
        <f t="shared" si="83"/>
        <v>63.013380050904182</v>
      </c>
      <c r="AS75" s="6"/>
      <c r="AT75" s="6"/>
      <c r="AX75" s="83" t="s">
        <v>237</v>
      </c>
      <c r="AY75">
        <v>2007</v>
      </c>
      <c r="AZ75" s="216">
        <v>1.9571428571428573E-2</v>
      </c>
      <c r="BA75" s="415"/>
      <c r="BB75" s="374"/>
      <c r="BW75" s="416" t="s">
        <v>238</v>
      </c>
      <c r="BX75" s="416"/>
      <c r="BY75" s="416"/>
      <c r="BZ75" s="416"/>
      <c r="CA75" s="416"/>
      <c r="CB75" s="416"/>
      <c r="CC75"/>
      <c r="CD75"/>
      <c r="CE75"/>
      <c r="CF75"/>
    </row>
    <row r="76" spans="33:148" ht="16.44">
      <c r="AG76" s="23">
        <f t="shared" si="82"/>
        <v>9.9999999999999881E-3</v>
      </c>
      <c r="AH76" s="14">
        <f t="shared" si="83"/>
        <v>69.314718055994618</v>
      </c>
      <c r="AX76" s="5" t="s">
        <v>239</v>
      </c>
      <c r="AY76">
        <v>2016</v>
      </c>
      <c r="AZ76" s="218">
        <v>1.9E-2</v>
      </c>
      <c r="BA76" s="415"/>
      <c r="BB76" s="374"/>
      <c r="BO76" s="6" t="s">
        <v>240</v>
      </c>
      <c r="BW76" s="416"/>
      <c r="BX76" s="416"/>
      <c r="BY76" s="416"/>
      <c r="BZ76" s="416"/>
      <c r="CA76" s="416"/>
      <c r="CB76" s="416"/>
    </row>
    <row r="77" spans="33:148" ht="16.44">
      <c r="AG77" s="23">
        <f t="shared" si="82"/>
        <v>8.9999999999999872E-3</v>
      </c>
      <c r="AH77" s="14">
        <f t="shared" si="83"/>
        <v>77.016353395549586</v>
      </c>
      <c r="AX77" s="83" t="s">
        <v>241</v>
      </c>
      <c r="AY77">
        <v>1995</v>
      </c>
      <c r="AZ77" s="216">
        <v>1.8714285714285715E-2</v>
      </c>
      <c r="BA77" s="415"/>
      <c r="BB77" s="374"/>
      <c r="BO77" s="53">
        <v>0.01</v>
      </c>
      <c r="BP77" t="s">
        <v>231</v>
      </c>
      <c r="BQ77" s="41">
        <f>1-BO77</f>
        <v>0.99</v>
      </c>
      <c r="BR77" t="s">
        <v>232</v>
      </c>
      <c r="BW77" s="416"/>
      <c r="BX77" s="416"/>
      <c r="BY77" s="416"/>
      <c r="BZ77" s="416"/>
      <c r="CA77" s="416"/>
      <c r="CB77" s="416"/>
    </row>
    <row r="78" spans="33:148" ht="16.44">
      <c r="AG78" s="23">
        <f t="shared" si="82"/>
        <v>7.9999999999999863E-3</v>
      </c>
      <c r="AH78" s="14">
        <f t="shared" si="83"/>
        <v>86.643397569993311</v>
      </c>
      <c r="AX78" s="83" t="s">
        <v>222</v>
      </c>
      <c r="AY78">
        <v>2007</v>
      </c>
      <c r="AZ78" s="216">
        <v>1.7428571428571429E-2</v>
      </c>
      <c r="BA78" s="415"/>
      <c r="BB78" s="374"/>
      <c r="BO78">
        <f>LN(BQ77)</f>
        <v>-1.0050335853501451E-2</v>
      </c>
      <c r="BP78" t="s">
        <v>234</v>
      </c>
      <c r="BW78" s="416"/>
      <c r="BX78" s="416"/>
      <c r="BY78" s="416"/>
      <c r="BZ78" s="416"/>
      <c r="CA78" s="416"/>
      <c r="CB78" s="416"/>
    </row>
    <row r="79" spans="33:148" ht="16" customHeight="1">
      <c r="AG79" s="23">
        <f t="shared" si="82"/>
        <v>6.9999999999999863E-3</v>
      </c>
      <c r="AH79" s="14">
        <f t="shared" si="83"/>
        <v>99.021025794278088</v>
      </c>
      <c r="AX79" s="5" t="s">
        <v>242</v>
      </c>
      <c r="AY79">
        <v>2000</v>
      </c>
      <c r="AZ79" s="218">
        <v>1.7000000000000001E-2</v>
      </c>
      <c r="BA79" s="415"/>
      <c r="BB79" s="374"/>
      <c r="BO79" s="205">
        <v>3</v>
      </c>
      <c r="BP79" s="206">
        <v>19</v>
      </c>
      <c r="BQ79" t="s">
        <v>243</v>
      </c>
      <c r="BT79">
        <f>BO79*BP79</f>
        <v>57</v>
      </c>
      <c r="BU79" t="s">
        <v>244</v>
      </c>
      <c r="BW79" s="416"/>
      <c r="BX79" s="416"/>
      <c r="BY79" s="416"/>
      <c r="BZ79" s="416"/>
      <c r="CA79" s="416"/>
      <c r="CB79" s="416"/>
      <c r="CC79" s="27"/>
      <c r="CD79" s="27"/>
      <c r="CE79" s="27"/>
      <c r="CF79" s="27"/>
      <c r="CG79" s="27"/>
      <c r="CH79" s="27"/>
      <c r="CI79" s="27"/>
      <c r="CJ79" s="27"/>
      <c r="CK79" s="27"/>
      <c r="CL79" s="73"/>
    </row>
    <row r="80" spans="33:148" ht="16.44">
      <c r="AG80" s="23">
        <f t="shared" si="82"/>
        <v>5.9999999999999862E-3</v>
      </c>
      <c r="AH80" s="14">
        <f t="shared" si="83"/>
        <v>115.52453009332447</v>
      </c>
      <c r="AX80" s="83" t="s">
        <v>245</v>
      </c>
      <c r="AY80">
        <v>2002</v>
      </c>
      <c r="AZ80" s="28">
        <v>1.3571428571428571E-2</v>
      </c>
      <c r="BB80" s="374"/>
      <c r="BO80" s="42">
        <f>100*EXP(BO78*BT79)</f>
        <v>56.390519045238761</v>
      </c>
      <c r="BP80" s="43" t="s">
        <v>246</v>
      </c>
      <c r="BQ80" s="43">
        <f>BT79</f>
        <v>57</v>
      </c>
      <c r="BR80" s="43" t="s">
        <v>247</v>
      </c>
      <c r="DO80" s="29"/>
      <c r="DP80" s="166"/>
      <c r="DQ80" s="29"/>
      <c r="DR80" s="28"/>
      <c r="DS80" s="28"/>
      <c r="DU80" s="30"/>
      <c r="DV80" s="28"/>
      <c r="EH80" s="17"/>
      <c r="EI80" s="14"/>
    </row>
    <row r="81" spans="33:139" s="16" customFormat="1" ht="16" customHeight="1">
      <c r="AG81" s="23">
        <f t="shared" si="82"/>
        <v>4.9999999999999862E-3</v>
      </c>
      <c r="AH81" s="14">
        <f t="shared" si="83"/>
        <v>138.62943611198943</v>
      </c>
      <c r="AR81"/>
      <c r="AX81" s="83" t="s">
        <v>248</v>
      </c>
      <c r="AY81">
        <v>1995</v>
      </c>
      <c r="AZ81" s="28">
        <v>1.1428571428571429E-2</v>
      </c>
      <c r="BB81" s="165"/>
      <c r="BE81"/>
      <c r="BK81"/>
      <c r="BL81"/>
      <c r="BO81"/>
      <c r="BP81"/>
      <c r="BQ81"/>
      <c r="BR81"/>
      <c r="BS81"/>
      <c r="BW81" t="s">
        <v>249</v>
      </c>
      <c r="CD81" s="9"/>
      <c r="CE81" s="9"/>
      <c r="CF81" s="9"/>
      <c r="CM81"/>
      <c r="CN81"/>
      <c r="CO81"/>
      <c r="CP81"/>
      <c r="CQ81"/>
      <c r="CR81"/>
      <c r="CS81"/>
      <c r="CT81"/>
      <c r="CU81"/>
      <c r="CV81"/>
      <c r="CW81"/>
      <c r="CX81"/>
      <c r="CY81"/>
      <c r="CZ81"/>
      <c r="DA81"/>
      <c r="DB81"/>
      <c r="DC81"/>
      <c r="DD81"/>
      <c r="DE81"/>
      <c r="DF81"/>
      <c r="DG81"/>
      <c r="DH81"/>
      <c r="DI81"/>
      <c r="DJ81"/>
      <c r="DK81"/>
      <c r="DL81"/>
      <c r="DM81"/>
      <c r="DN81"/>
      <c r="DO81"/>
      <c r="DP81" s="374"/>
      <c r="DQ81"/>
      <c r="DR81"/>
      <c r="DS81"/>
      <c r="DT81"/>
      <c r="DU81" s="32"/>
      <c r="DW81"/>
      <c r="DX81"/>
      <c r="DY81"/>
      <c r="DZ81"/>
      <c r="EA81"/>
      <c r="EB81"/>
      <c r="EC81"/>
      <c r="ED81"/>
      <c r="EE81"/>
      <c r="EF81"/>
      <c r="EG81"/>
      <c r="EH81" s="33"/>
      <c r="EI81" s="27"/>
    </row>
    <row r="82" spans="33:139" ht="16.44">
      <c r="AG82" s="23">
        <f>AG81-0.001</f>
        <v>3.9999999999999862E-3</v>
      </c>
      <c r="AH82" s="14">
        <f>(LN(2))/AG82</f>
        <v>173.28679513998691</v>
      </c>
      <c r="AX82" s="83" t="s">
        <v>250</v>
      </c>
      <c r="AY82">
        <v>1999</v>
      </c>
      <c r="AZ82" s="28">
        <v>1.035681555964402E-2</v>
      </c>
      <c r="BB82" s="374"/>
      <c r="BW82" s="352" t="s">
        <v>251</v>
      </c>
      <c r="CG82"/>
      <c r="DO82"/>
      <c r="DP82" s="374"/>
      <c r="DQ82"/>
      <c r="EH82" s="34"/>
      <c r="EI82" s="14"/>
    </row>
    <row r="83" spans="33:139" ht="16" customHeight="1">
      <c r="AG83" s="23">
        <f t="shared" si="82"/>
        <v>2.9999999999999862E-3</v>
      </c>
      <c r="AH83" s="14">
        <f>(LN(2))/AG83</f>
        <v>231.04906018664948</v>
      </c>
      <c r="AX83" s="5" t="s">
        <v>252</v>
      </c>
      <c r="AY83">
        <v>2000</v>
      </c>
      <c r="AZ83" s="28">
        <v>0.01</v>
      </c>
      <c r="BB83" s="374"/>
      <c r="BQ83" s="14"/>
      <c r="CG83"/>
      <c r="DO83"/>
      <c r="DP83" s="374"/>
      <c r="DQ83"/>
    </row>
    <row r="84" spans="33:139" ht="16.44">
      <c r="AG84" s="23">
        <f t="shared" si="82"/>
        <v>1.9999999999999862E-3</v>
      </c>
      <c r="AH84" s="14">
        <f>(LN(2))/AG84</f>
        <v>346.57359027997506</v>
      </c>
      <c r="AX84" s="83" t="s">
        <v>237</v>
      </c>
      <c r="AY84">
        <v>2007</v>
      </c>
      <c r="AZ84" s="28">
        <v>8.7142857142857143E-3</v>
      </c>
      <c r="BB84" s="374"/>
      <c r="BG84" s="6"/>
      <c r="CD84" s="35"/>
      <c r="CE84" s="35"/>
      <c r="CF84" s="163"/>
      <c r="CG84" s="163"/>
      <c r="DO84"/>
      <c r="DP84" s="374"/>
      <c r="DQ84"/>
      <c r="EH84" s="17"/>
      <c r="EI84" s="14"/>
    </row>
    <row r="85" spans="33:139" ht="16.44">
      <c r="AX85" s="83" t="s">
        <v>253</v>
      </c>
      <c r="AY85">
        <v>2001</v>
      </c>
      <c r="AZ85" s="28">
        <v>6.7142857142857143E-3</v>
      </c>
      <c r="BB85" s="374"/>
      <c r="BR85" s="17"/>
      <c r="BS85" s="17"/>
      <c r="CG85"/>
      <c r="DO85"/>
      <c r="DP85" s="374"/>
      <c r="DQ85"/>
      <c r="EH85" s="17"/>
      <c r="EI85" s="14"/>
    </row>
    <row r="86" spans="33:139" ht="16.44">
      <c r="AX86" s="83" t="s">
        <v>254</v>
      </c>
      <c r="AY86">
        <v>1999</v>
      </c>
      <c r="AZ86" s="28">
        <v>4.7142857142857143E-3</v>
      </c>
      <c r="BB86" s="374"/>
      <c r="CD86" s="163"/>
      <c r="CE86" s="163"/>
      <c r="CF86" s="163"/>
      <c r="CG86" s="163"/>
      <c r="DO86"/>
      <c r="DP86" s="374"/>
      <c r="DQ86"/>
      <c r="EH86" s="17"/>
      <c r="EI86" s="14"/>
    </row>
    <row r="87" spans="33:139" ht="63.75">
      <c r="AX87" s="83" t="s">
        <v>255</v>
      </c>
      <c r="AY87">
        <v>1999</v>
      </c>
      <c r="AZ87" s="216">
        <v>3.9670639760890931E-3</v>
      </c>
      <c r="BA87" s="402" t="s">
        <v>256</v>
      </c>
      <c r="BB87" s="374"/>
      <c r="BZ87" s="363"/>
      <c r="CA87" s="368" t="s">
        <v>257</v>
      </c>
      <c r="CB87" s="192" t="s">
        <v>258</v>
      </c>
      <c r="CC87" s="357" t="s">
        <v>259</v>
      </c>
      <c r="CD87" s="368" t="s">
        <v>260</v>
      </c>
      <c r="CE87" s="368"/>
      <c r="CG87" s="163"/>
      <c r="DU87" s="374"/>
      <c r="DV87" s="374"/>
    </row>
    <row r="88" spans="33:139" ht="47.81">
      <c r="AX88" s="83" t="s">
        <v>261</v>
      </c>
      <c r="AY88">
        <v>2000</v>
      </c>
      <c r="AZ88" s="216">
        <v>3.4285714285714288E-3</v>
      </c>
      <c r="BA88" s="402"/>
      <c r="BB88" s="374"/>
      <c r="BZ88" s="368" t="s">
        <v>262</v>
      </c>
      <c r="CA88" s="368" t="s">
        <v>263</v>
      </c>
      <c r="CB88" s="368">
        <f>BV128</f>
        <v>0</v>
      </c>
      <c r="CC88" s="368" t="s">
        <v>264</v>
      </c>
      <c r="CD88" s="363"/>
      <c r="CE88" s="363"/>
      <c r="CF88" s="5" t="s">
        <v>265</v>
      </c>
      <c r="CG88" s="163"/>
    </row>
    <row r="89" spans="33:139" ht="16.44">
      <c r="AX89" s="83" t="s">
        <v>266</v>
      </c>
      <c r="AY89">
        <v>1999</v>
      </c>
      <c r="AZ89" s="216">
        <v>3.2857142857142855E-3</v>
      </c>
      <c r="BA89" s="402"/>
      <c r="BB89" s="374"/>
      <c r="BY89" s="5">
        <v>40</v>
      </c>
      <c r="BZ89" s="43">
        <v>0</v>
      </c>
      <c r="CA89" s="211">
        <v>1E-3</v>
      </c>
      <c r="CB89" s="43">
        <v>40</v>
      </c>
      <c r="CC89" s="62">
        <f t="shared" ref="CC89:CC107" si="84">12+CB89</f>
        <v>52</v>
      </c>
      <c r="CD89" s="21">
        <f t="shared" ref="CD89:CD107" si="85">-$CF$92*LN(CA89)+$CF$89</f>
        <v>39.538776394910684</v>
      </c>
      <c r="CE89" s="21"/>
      <c r="CF89" s="142">
        <v>5</v>
      </c>
      <c r="CG89" s="163"/>
    </row>
    <row r="90" spans="33:139" ht="16.44">
      <c r="AX90" s="83" t="s">
        <v>237</v>
      </c>
      <c r="AY90">
        <v>2007</v>
      </c>
      <c r="AZ90" s="216">
        <v>3.0000000000000001E-3</v>
      </c>
      <c r="BA90" s="402"/>
      <c r="BB90" s="374"/>
      <c r="BY90" s="5">
        <v>30</v>
      </c>
      <c r="BZ90" s="43">
        <v>10</v>
      </c>
      <c r="CA90" s="210">
        <f t="shared" ref="CA90:CA107" si="86">BZ90*20/8000</f>
        <v>2.5000000000000001E-2</v>
      </c>
      <c r="CB90" s="43">
        <v>30</v>
      </c>
      <c r="CC90" s="62">
        <f t="shared" si="84"/>
        <v>42</v>
      </c>
      <c r="CD90" s="21">
        <f t="shared" si="85"/>
        <v>23.444397270569681</v>
      </c>
      <c r="CE90" s="21"/>
      <c r="CG90" s="163"/>
    </row>
    <row r="91" spans="33:139" ht="16.44">
      <c r="AX91" s="83" t="s">
        <v>267</v>
      </c>
      <c r="AY91">
        <v>2000</v>
      </c>
      <c r="AZ91" s="216">
        <v>2.142857142857143E-3</v>
      </c>
      <c r="BA91" s="402"/>
      <c r="BB91" s="374"/>
      <c r="BY91" s="5">
        <v>20</v>
      </c>
      <c r="BZ91" s="43">
        <v>25</v>
      </c>
      <c r="CA91" s="210">
        <f t="shared" si="86"/>
        <v>6.25E-2</v>
      </c>
      <c r="CB91" s="43">
        <v>20</v>
      </c>
      <c r="CC91" s="62">
        <f t="shared" si="84"/>
        <v>32</v>
      </c>
      <c r="CD91" s="21">
        <f t="shared" si="85"/>
        <v>18.862943611198908</v>
      </c>
      <c r="CE91" s="21"/>
      <c r="CF91" s="5" t="s">
        <v>268</v>
      </c>
      <c r="CG91" s="163"/>
    </row>
    <row r="92" spans="33:139" ht="16.44">
      <c r="AX92" s="83" t="s">
        <v>269</v>
      </c>
      <c r="AY92">
        <v>1999</v>
      </c>
      <c r="AZ92" s="216">
        <v>-8.0662155061252579E-3</v>
      </c>
      <c r="BA92" s="402"/>
      <c r="BB92" s="374"/>
      <c r="BT92">
        <v>1.45</v>
      </c>
      <c r="BU92">
        <v>16.2</v>
      </c>
      <c r="BV92" s="212">
        <f>LN(BT92)/BU92</f>
        <v>2.2936022002005126E-2</v>
      </c>
      <c r="BY92" s="5">
        <v>17</v>
      </c>
      <c r="BZ92" s="43">
        <v>40</v>
      </c>
      <c r="CA92" s="210">
        <f t="shared" si="86"/>
        <v>0.1</v>
      </c>
      <c r="CB92" s="43">
        <v>17</v>
      </c>
      <c r="CC92" s="62">
        <f t="shared" si="84"/>
        <v>29</v>
      </c>
      <c r="CD92" s="21">
        <f t="shared" si="85"/>
        <v>16.512925464970227</v>
      </c>
      <c r="CE92" s="21"/>
      <c r="CF92" s="142">
        <v>5</v>
      </c>
      <c r="CO92" s="354"/>
      <c r="CP92" s="354"/>
      <c r="CQ92" s="354"/>
      <c r="CR92" s="354"/>
    </row>
    <row r="93" spans="33:139" ht="16.44">
      <c r="BB93" s="374"/>
      <c r="BT93">
        <v>1.22</v>
      </c>
      <c r="BU93">
        <v>19.2</v>
      </c>
      <c r="BV93" s="212">
        <f>LN(BT93)/BU93</f>
        <v>1.035681555964402E-2</v>
      </c>
      <c r="BZ93" s="207">
        <v>50</v>
      </c>
      <c r="CA93" s="209">
        <f t="shared" si="86"/>
        <v>0.125</v>
      </c>
      <c r="CB93" s="208">
        <v>14.285714285714285</v>
      </c>
      <c r="CC93" s="208">
        <f t="shared" si="84"/>
        <v>26.285714285714285</v>
      </c>
      <c r="CD93" s="21">
        <f t="shared" si="85"/>
        <v>15.397207708399179</v>
      </c>
      <c r="CE93" s="21"/>
      <c r="CO93" s="354"/>
      <c r="CP93" s="354"/>
      <c r="CQ93" s="354"/>
      <c r="CR93" s="354"/>
    </row>
    <row r="94" spans="33:139">
      <c r="BB94" s="374"/>
      <c r="BT94">
        <v>1.08</v>
      </c>
      <c r="BU94">
        <v>19.399999999999999</v>
      </c>
      <c r="BV94" s="212">
        <f>LN(BT94)/BU94</f>
        <v>3.9670639760890931E-3</v>
      </c>
      <c r="BZ94" s="207">
        <v>100</v>
      </c>
      <c r="CA94" s="209">
        <f t="shared" si="86"/>
        <v>0.25</v>
      </c>
      <c r="CB94" s="208">
        <v>12.5</v>
      </c>
      <c r="CC94" s="208">
        <f t="shared" si="84"/>
        <v>24.5</v>
      </c>
      <c r="CD94" s="21">
        <f t="shared" si="85"/>
        <v>11.931471805599454</v>
      </c>
      <c r="CE94" s="21"/>
    </row>
    <row r="95" spans="33:139">
      <c r="BB95" s="374"/>
      <c r="BT95">
        <v>0.83</v>
      </c>
      <c r="BU95">
        <v>23.1</v>
      </c>
      <c r="BV95" s="212">
        <f>LN(BT95)/BU95</f>
        <v>-8.0662155061252579E-3</v>
      </c>
      <c r="BY95" s="47"/>
      <c r="BZ95" s="207">
        <v>150</v>
      </c>
      <c r="CA95" s="209">
        <f t="shared" si="86"/>
        <v>0.375</v>
      </c>
      <c r="CB95" s="208">
        <v>10.526315789473685</v>
      </c>
      <c r="CC95" s="208">
        <f t="shared" si="84"/>
        <v>22.526315789473685</v>
      </c>
      <c r="CD95" s="21">
        <f t="shared" si="85"/>
        <v>9.9041462650586318</v>
      </c>
      <c r="CE95" s="21"/>
    </row>
    <row r="96" spans="33:139" ht="16" customHeight="1">
      <c r="BB96" s="374"/>
      <c r="BW96" s="39"/>
      <c r="BY96" s="47"/>
      <c r="BZ96" s="207">
        <v>200</v>
      </c>
      <c r="CA96" s="209">
        <f t="shared" si="86"/>
        <v>0.5</v>
      </c>
      <c r="CB96" s="208">
        <v>9.0909090909090917</v>
      </c>
      <c r="CC96" s="208">
        <f t="shared" si="84"/>
        <v>21.090909090909093</v>
      </c>
      <c r="CD96" s="21">
        <f t="shared" si="85"/>
        <v>8.465735902799727</v>
      </c>
      <c r="CE96" s="21"/>
    </row>
    <row r="97" spans="64:132">
      <c r="BY97" s="47"/>
      <c r="BZ97" s="207">
        <v>250</v>
      </c>
      <c r="CA97" s="209">
        <f t="shared" si="86"/>
        <v>0.625</v>
      </c>
      <c r="CB97" s="208">
        <v>7.6923076923076916</v>
      </c>
      <c r="CC97" s="208">
        <f t="shared" si="84"/>
        <v>19.692307692307693</v>
      </c>
      <c r="CD97" s="21">
        <f t="shared" si="85"/>
        <v>7.3500181462286776</v>
      </c>
      <c r="CE97" s="21"/>
    </row>
    <row r="98" spans="64:132">
      <c r="BY98" s="47"/>
      <c r="BZ98" s="207">
        <v>300</v>
      </c>
      <c r="CA98" s="209">
        <f t="shared" si="86"/>
        <v>0.75</v>
      </c>
      <c r="CB98" s="208">
        <v>6.666666666666667</v>
      </c>
      <c r="CC98" s="208">
        <f t="shared" si="84"/>
        <v>18.666666666666668</v>
      </c>
      <c r="CD98" s="21">
        <f t="shared" si="85"/>
        <v>6.4384103622589048</v>
      </c>
      <c r="CE98" s="21"/>
    </row>
    <row r="99" spans="64:132">
      <c r="BY99" s="17"/>
      <c r="BZ99" s="207">
        <v>350</v>
      </c>
      <c r="CA99" s="209">
        <f t="shared" si="86"/>
        <v>0.875</v>
      </c>
      <c r="CB99" s="208">
        <v>4.2105263157894735</v>
      </c>
      <c r="CC99" s="208">
        <f t="shared" si="84"/>
        <v>16.210526315789473</v>
      </c>
      <c r="CD99" s="21">
        <f t="shared" si="85"/>
        <v>5.6676569631226128</v>
      </c>
      <c r="CE99" s="21"/>
      <c r="CG99" s="163"/>
      <c r="CH99" s="163"/>
      <c r="CI99" s="163"/>
      <c r="CJ99" s="163"/>
      <c r="CK99" s="163"/>
    </row>
    <row r="100" spans="64:132" ht="16" customHeight="1">
      <c r="BX100" s="365"/>
      <c r="BY100" s="17"/>
      <c r="BZ100" s="207">
        <v>400</v>
      </c>
      <c r="CA100" s="209">
        <f t="shared" si="86"/>
        <v>1</v>
      </c>
      <c r="CB100" s="208">
        <v>3.6363636363636367</v>
      </c>
      <c r="CC100" s="208">
        <f t="shared" si="84"/>
        <v>15.636363636363637</v>
      </c>
      <c r="CD100" s="21">
        <f t="shared" si="85"/>
        <v>5</v>
      </c>
      <c r="CE100" s="21"/>
      <c r="CG100" s="163"/>
      <c r="CH100" s="163"/>
      <c r="CI100" s="163"/>
      <c r="CJ100" s="163"/>
      <c r="CK100" s="163"/>
    </row>
    <row r="101" spans="64:132" ht="16" customHeight="1">
      <c r="BY101" s="17"/>
      <c r="BZ101" s="207">
        <v>450</v>
      </c>
      <c r="CA101" s="209">
        <f t="shared" si="86"/>
        <v>1.125</v>
      </c>
      <c r="CB101" s="208">
        <v>3.0769230769230771</v>
      </c>
      <c r="CC101" s="208">
        <f t="shared" si="84"/>
        <v>15.076923076923077</v>
      </c>
      <c r="CD101" s="21">
        <f t="shared" si="85"/>
        <v>4.4110848217180827</v>
      </c>
      <c r="CE101" s="21"/>
      <c r="CG101" s="163"/>
      <c r="CH101" s="163"/>
      <c r="CI101" s="163"/>
      <c r="CJ101" s="163"/>
      <c r="CK101" s="163"/>
    </row>
    <row r="102" spans="64:132">
      <c r="BL102" s="23"/>
      <c r="BY102" s="17"/>
      <c r="BZ102" s="207">
        <v>500</v>
      </c>
      <c r="CA102" s="209">
        <f t="shared" si="86"/>
        <v>1.25</v>
      </c>
      <c r="CB102" s="208">
        <v>2.8571428571428572</v>
      </c>
      <c r="CC102" s="208">
        <f t="shared" si="84"/>
        <v>14.857142857142858</v>
      </c>
      <c r="CD102" s="21">
        <f t="shared" si="85"/>
        <v>3.8842822434289515</v>
      </c>
      <c r="CE102" s="21"/>
      <c r="CG102" s="163"/>
      <c r="CH102" s="163"/>
      <c r="CI102" s="163"/>
      <c r="CJ102" s="163"/>
      <c r="CK102" s="163"/>
    </row>
    <row r="103" spans="64:132">
      <c r="BL103" s="23"/>
      <c r="BY103" s="17"/>
      <c r="BZ103" s="207">
        <v>550</v>
      </c>
      <c r="CA103" s="209">
        <f t="shared" si="86"/>
        <v>1.375</v>
      </c>
      <c r="CB103" s="208">
        <v>1.8181818181818181</v>
      </c>
      <c r="CC103" s="208">
        <f t="shared" si="84"/>
        <v>13.818181818181818</v>
      </c>
      <c r="CD103" s="21">
        <f t="shared" si="85"/>
        <v>3.4077313444073272</v>
      </c>
      <c r="CE103" s="21"/>
      <c r="CG103" s="163"/>
      <c r="CH103" s="163"/>
      <c r="CI103" s="163"/>
      <c r="CJ103" s="163"/>
      <c r="CK103" s="163"/>
      <c r="DU103" s="17"/>
      <c r="DV103" s="17"/>
    </row>
    <row r="104" spans="64:132" ht="16" customHeight="1">
      <c r="BL104" s="23"/>
      <c r="BY104" s="17"/>
      <c r="BZ104" s="207">
        <v>600</v>
      </c>
      <c r="CA104" s="209">
        <f t="shared" si="86"/>
        <v>1.5</v>
      </c>
      <c r="CB104" s="208">
        <v>1.6216216216216215</v>
      </c>
      <c r="CC104" s="208">
        <f t="shared" si="84"/>
        <v>13.621621621621621</v>
      </c>
      <c r="CD104" s="21">
        <f t="shared" si="85"/>
        <v>2.9726744594591779</v>
      </c>
      <c r="CE104" s="21"/>
      <c r="CG104" s="49"/>
      <c r="CH104" s="49"/>
      <c r="CI104" s="49"/>
      <c r="CJ104" s="49"/>
      <c r="CK104" s="49"/>
      <c r="CL104" s="49"/>
      <c r="CM104" s="49"/>
      <c r="CN104" s="49"/>
      <c r="CO104" s="49"/>
      <c r="CP104" s="49"/>
      <c r="CQ104" s="49"/>
      <c r="CR104" s="49"/>
      <c r="CS104" s="49"/>
      <c r="CT104" s="49"/>
      <c r="CU104" s="49"/>
      <c r="CV104" s="49"/>
    </row>
    <row r="105" spans="64:132">
      <c r="BL105" s="23"/>
      <c r="BY105" s="17">
        <v>1.4</v>
      </c>
      <c r="BZ105" s="43">
        <v>800</v>
      </c>
      <c r="CA105" s="210">
        <f t="shared" si="86"/>
        <v>2</v>
      </c>
      <c r="CB105" s="43">
        <v>1.4</v>
      </c>
      <c r="CC105" s="62">
        <f t="shared" si="84"/>
        <v>13.4</v>
      </c>
      <c r="CD105" s="21">
        <f t="shared" si="85"/>
        <v>1.5342640972002735</v>
      </c>
      <c r="CE105" s="21"/>
      <c r="CG105" s="49"/>
      <c r="CH105" s="49"/>
      <c r="CI105" s="49"/>
      <c r="CJ105" s="49"/>
      <c r="CK105" s="49"/>
      <c r="CL105" s="49"/>
      <c r="CM105" s="49"/>
      <c r="CN105" s="49"/>
      <c r="CO105" s="49"/>
      <c r="CP105" s="49"/>
      <c r="CQ105" s="49"/>
      <c r="CR105" s="49"/>
      <c r="CS105" s="49"/>
      <c r="CT105" s="49"/>
      <c r="CU105" s="49"/>
      <c r="CV105" s="49"/>
    </row>
    <row r="106" spans="64:132">
      <c r="BL106" s="23"/>
      <c r="BY106" s="17">
        <v>1</v>
      </c>
      <c r="BZ106" s="43">
        <v>1000</v>
      </c>
      <c r="CA106" s="210">
        <f t="shared" si="86"/>
        <v>2.5</v>
      </c>
      <c r="CB106" s="43">
        <v>1</v>
      </c>
      <c r="CC106" s="62">
        <f t="shared" si="84"/>
        <v>13</v>
      </c>
      <c r="CD106" s="21">
        <f t="shared" si="85"/>
        <v>0.41854634062922447</v>
      </c>
      <c r="CE106" s="21"/>
      <c r="CG106" s="49"/>
      <c r="CH106" s="49"/>
      <c r="CI106" s="49"/>
      <c r="CJ106" s="49"/>
      <c r="CK106" s="49"/>
      <c r="CL106" s="49"/>
      <c r="CM106" s="49"/>
      <c r="CN106" s="49"/>
      <c r="CO106" s="49"/>
      <c r="CP106" s="49"/>
      <c r="CQ106" s="49"/>
      <c r="CR106" s="49"/>
      <c r="CS106" s="49"/>
      <c r="CT106" s="49"/>
      <c r="CU106" s="49"/>
      <c r="CV106" s="49"/>
      <c r="DW106" s="5"/>
      <c r="DX106" s="5"/>
      <c r="DY106" s="5"/>
      <c r="DZ106" s="5"/>
      <c r="EA106" s="5"/>
    </row>
    <row r="107" spans="64:132">
      <c r="BL107" s="23"/>
      <c r="BY107" s="17">
        <v>0.5</v>
      </c>
      <c r="BZ107" s="43">
        <v>1200</v>
      </c>
      <c r="CA107" s="210">
        <f t="shared" si="86"/>
        <v>3</v>
      </c>
      <c r="CB107" s="43">
        <v>0.5</v>
      </c>
      <c r="CC107" s="62">
        <f t="shared" si="84"/>
        <v>12.5</v>
      </c>
      <c r="CD107" s="21">
        <f t="shared" si="85"/>
        <v>-0.49306144334054913</v>
      </c>
      <c r="CE107" s="21"/>
      <c r="EB107" s="23"/>
    </row>
    <row r="108" spans="64:132">
      <c r="BL108" s="23"/>
      <c r="BY108" s="17"/>
      <c r="CB108" s="83"/>
      <c r="CC108" s="21"/>
      <c r="CD108" s="88"/>
      <c r="CE108" s="88"/>
      <c r="CF108" s="89"/>
      <c r="EB108" s="23"/>
    </row>
    <row r="109" spans="64:132">
      <c r="BL109" s="23"/>
      <c r="BY109" s="47"/>
      <c r="CB109" s="83"/>
      <c r="CC109" s="21"/>
      <c r="CD109" s="88"/>
      <c r="CE109" s="88"/>
      <c r="CF109" s="89"/>
      <c r="EB109" s="23"/>
    </row>
    <row r="110" spans="64:132">
      <c r="BL110" s="23"/>
      <c r="BY110" s="47"/>
      <c r="CB110" s="83"/>
      <c r="CC110" s="21"/>
      <c r="CD110" s="88"/>
      <c r="CE110" s="88"/>
      <c r="CF110" s="89"/>
      <c r="EB110" s="23"/>
    </row>
    <row r="111" spans="64:132">
      <c r="BL111" s="23"/>
      <c r="BY111" s="47"/>
      <c r="CB111" s="83"/>
      <c r="CC111" s="21"/>
      <c r="CD111" s="88"/>
      <c r="CE111" s="88"/>
      <c r="CF111" s="89"/>
    </row>
    <row r="112" spans="64:132">
      <c r="BL112" s="23"/>
      <c r="BY112" s="47"/>
      <c r="CB112" s="83"/>
      <c r="CC112" s="21"/>
      <c r="CD112" s="88"/>
      <c r="CE112" s="88"/>
      <c r="CF112" s="89"/>
    </row>
    <row r="113" spans="64:121">
      <c r="BL113" s="23"/>
      <c r="BY113" s="47"/>
      <c r="CB113" s="83"/>
      <c r="CC113" s="21"/>
      <c r="CD113" s="88"/>
      <c r="CE113" s="88"/>
      <c r="CF113" s="89"/>
    </row>
    <row r="114" spans="64:121">
      <c r="BL114" s="23"/>
      <c r="BY114" s="47"/>
      <c r="CB114" s="83"/>
      <c r="CC114" s="21"/>
      <c r="CD114" s="88"/>
      <c r="CE114" s="88"/>
      <c r="CF114" s="89"/>
    </row>
    <row r="115" spans="64:121">
      <c r="BY115" s="47"/>
      <c r="CB115" s="83"/>
      <c r="CC115" s="21"/>
      <c r="CD115" s="88"/>
      <c r="CE115" s="88"/>
      <c r="CF115" s="89"/>
      <c r="DO115" s="13"/>
      <c r="DP115" s="277"/>
      <c r="DQ115" s="13"/>
    </row>
    <row r="116" spans="64:121">
      <c r="BY116" s="47"/>
      <c r="CB116" s="83"/>
      <c r="CC116" s="21"/>
      <c r="CD116" s="88"/>
      <c r="CE116" s="88"/>
      <c r="CF116" s="89"/>
      <c r="DO116" s="13"/>
      <c r="DP116" s="277"/>
      <c r="DQ116" s="13"/>
    </row>
    <row r="117" spans="64:121">
      <c r="BL117" s="23"/>
      <c r="BY117" s="47"/>
      <c r="CB117" s="83"/>
      <c r="CC117" s="21"/>
      <c r="CD117" s="88"/>
      <c r="CE117" s="88"/>
      <c r="CF117" s="89"/>
      <c r="DO117" s="13"/>
      <c r="DP117" s="277"/>
      <c r="DQ117" s="13"/>
    </row>
    <row r="118" spans="64:121">
      <c r="BL118" s="23"/>
      <c r="BY118" s="47"/>
      <c r="DO118" s="13"/>
      <c r="DP118" s="277"/>
      <c r="DQ118" s="13"/>
    </row>
    <row r="119" spans="64:121">
      <c r="BL119" s="23"/>
      <c r="BY119" s="47"/>
      <c r="DO119" s="13"/>
      <c r="DP119" s="277"/>
      <c r="DQ119" s="13"/>
    </row>
    <row r="120" spans="64:121">
      <c r="DO120" s="13"/>
      <c r="DP120" s="277"/>
      <c r="DQ120" s="13"/>
    </row>
    <row r="121" spans="64:121">
      <c r="DO121" s="13"/>
      <c r="DP121" s="277"/>
      <c r="DQ121" s="13"/>
    </row>
    <row r="122" spans="64:121">
      <c r="DA122" s="5"/>
      <c r="DO122" s="13"/>
      <c r="DP122" s="277"/>
      <c r="DQ122" s="13"/>
    </row>
    <row r="123" spans="64:121">
      <c r="DA123" s="5"/>
      <c r="DO123" s="13"/>
      <c r="DP123" s="277"/>
      <c r="DQ123" s="13"/>
    </row>
    <row r="124" spans="64:121">
      <c r="DA124" s="5"/>
      <c r="DO124" s="13"/>
      <c r="DP124" s="277"/>
      <c r="DQ124" s="13"/>
    </row>
    <row r="125" spans="64:121">
      <c r="DA125" s="5"/>
      <c r="DO125" s="13"/>
      <c r="DP125" s="277"/>
      <c r="DQ125" s="13"/>
    </row>
    <row r="126" spans="64:121">
      <c r="DA126" s="5"/>
      <c r="DO126" s="13"/>
      <c r="DP126" s="277"/>
      <c r="DQ126" s="13"/>
    </row>
    <row r="127" spans="64:121">
      <c r="BY127"/>
      <c r="DA127" s="5"/>
      <c r="DO127" s="13"/>
      <c r="DP127" s="277"/>
      <c r="DQ127" s="13"/>
    </row>
    <row r="128" spans="64:121">
      <c r="BS128" s="16"/>
      <c r="BT128" s="16"/>
      <c r="BU128" s="16"/>
      <c r="BV128" s="16"/>
      <c r="BY128"/>
      <c r="DA128" s="5"/>
      <c r="DO128" s="13"/>
      <c r="DP128" s="277"/>
      <c r="DQ128" s="13"/>
    </row>
    <row r="129" spans="74:121">
      <c r="BV129" s="24"/>
      <c r="BY129"/>
      <c r="DA129" s="5"/>
      <c r="DO129" s="13"/>
      <c r="DP129" s="277"/>
      <c r="DQ129" s="13"/>
    </row>
    <row r="130" spans="74:121">
      <c r="BV130" s="24"/>
      <c r="BY130"/>
      <c r="DA130" s="5"/>
      <c r="DO130" s="13"/>
      <c r="DP130" s="277"/>
      <c r="DQ130" s="13"/>
    </row>
    <row r="131" spans="74:121">
      <c r="BV131" s="24"/>
      <c r="BY131"/>
      <c r="DA131" s="5"/>
      <c r="DO131" s="13"/>
      <c r="DP131" s="277"/>
      <c r="DQ131" s="13"/>
    </row>
    <row r="132" spans="74:121">
      <c r="BV132" s="24"/>
      <c r="BY132"/>
      <c r="DA132" s="5"/>
      <c r="DO132" s="13"/>
      <c r="DP132" s="277"/>
      <c r="DQ132" s="13"/>
    </row>
    <row r="133" spans="74:121">
      <c r="BV133" s="24"/>
      <c r="BY133"/>
      <c r="DA133" s="5"/>
      <c r="DO133" s="13"/>
      <c r="DP133" s="277"/>
      <c r="DQ133" s="13"/>
    </row>
    <row r="134" spans="74:121">
      <c r="BV134" s="24"/>
      <c r="BY134"/>
      <c r="DA134" s="5"/>
      <c r="DO134" s="13"/>
      <c r="DP134" s="277"/>
      <c r="DQ134" s="13"/>
    </row>
    <row r="135" spans="74:121">
      <c r="BV135" s="24"/>
      <c r="BY135"/>
      <c r="DA135" s="5"/>
      <c r="DO135" s="13"/>
      <c r="DP135" s="277"/>
      <c r="DQ135" s="13"/>
    </row>
    <row r="136" spans="74:121">
      <c r="BV136" s="24"/>
      <c r="BY136"/>
      <c r="DA136" s="5"/>
      <c r="DO136" s="13"/>
      <c r="DP136" s="277"/>
      <c r="DQ136" s="13"/>
    </row>
    <row r="137" spans="74:121">
      <c r="BV137" s="24"/>
      <c r="BY137"/>
      <c r="DA137" s="5"/>
      <c r="DO137" s="13"/>
      <c r="DP137" s="277"/>
      <c r="DQ137" s="13"/>
    </row>
    <row r="138" spans="74:121">
      <c r="BV138" s="24"/>
      <c r="BY138"/>
      <c r="DA138" s="5"/>
      <c r="DO138" s="13"/>
      <c r="DP138" s="277"/>
      <c r="DQ138" s="13"/>
    </row>
    <row r="139" spans="74:121">
      <c r="BV139" s="24"/>
      <c r="BY139"/>
    </row>
    <row r="140" spans="74:121">
      <c r="BV140" s="24"/>
      <c r="BY140"/>
    </row>
    <row r="141" spans="74:121">
      <c r="BW141"/>
      <c r="BX141"/>
      <c r="BY141"/>
    </row>
    <row r="142" spans="74:121">
      <c r="BW142"/>
      <c r="BX142"/>
      <c r="BY142"/>
    </row>
    <row r="143" spans="74:121">
      <c r="BW143"/>
      <c r="BX143"/>
      <c r="BY143"/>
    </row>
    <row r="144" spans="74:121">
      <c r="BW144"/>
      <c r="BX144"/>
      <c r="BY144"/>
    </row>
    <row r="145" spans="54:142">
      <c r="BB145" s="374"/>
      <c r="BW145"/>
      <c r="BX145"/>
      <c r="BY145"/>
    </row>
    <row r="146" spans="54:142">
      <c r="BB146" s="374"/>
      <c r="BW146"/>
      <c r="BX146"/>
      <c r="BY146"/>
    </row>
    <row r="147" spans="54:142" s="5" customFormat="1">
      <c r="BB147" s="374"/>
      <c r="BV147"/>
      <c r="BW147"/>
      <c r="BX147"/>
      <c r="CL147"/>
      <c r="CM147"/>
      <c r="CN147"/>
      <c r="CO147"/>
      <c r="CP147"/>
      <c r="CQ147"/>
      <c r="CR147"/>
      <c r="CS147"/>
      <c r="CT147"/>
      <c r="CU147"/>
      <c r="CV147"/>
      <c r="CW147"/>
      <c r="CX147"/>
      <c r="CY147"/>
      <c r="CZ147"/>
      <c r="DA147"/>
      <c r="DB147"/>
      <c r="DC147"/>
      <c r="DD147"/>
      <c r="DE147"/>
      <c r="DF147"/>
      <c r="DG147"/>
      <c r="DH147"/>
      <c r="DI147"/>
      <c r="DJ147"/>
      <c r="DK147"/>
      <c r="DL147"/>
      <c r="DM147"/>
      <c r="DN147"/>
      <c r="DO147" s="14"/>
      <c r="DP147" s="46"/>
      <c r="DQ147" s="14"/>
      <c r="DR147"/>
      <c r="DS147"/>
      <c r="DT147"/>
      <c r="DU147"/>
      <c r="DV147"/>
      <c r="DW147"/>
      <c r="DX147"/>
      <c r="DY147"/>
      <c r="DZ147"/>
      <c r="EA147"/>
      <c r="EB147"/>
      <c r="EC147"/>
      <c r="ED147"/>
      <c r="EE147"/>
      <c r="EF147"/>
      <c r="EG147"/>
      <c r="EH147"/>
      <c r="EI147"/>
      <c r="EJ147"/>
      <c r="EK147"/>
      <c r="EL147"/>
    </row>
    <row r="148" spans="54:142" s="5" customFormat="1">
      <c r="BB148" s="374"/>
      <c r="BO148"/>
      <c r="BP148"/>
      <c r="BQ148"/>
      <c r="BR148"/>
      <c r="BS148"/>
      <c r="BT148"/>
      <c r="BU148"/>
      <c r="BV148"/>
      <c r="BY148" s="47"/>
      <c r="BZ148"/>
      <c r="CA148"/>
      <c r="CB148" s="24"/>
      <c r="CC148" s="23"/>
      <c r="CD148"/>
      <c r="CE148"/>
      <c r="CL148"/>
      <c r="CM148"/>
      <c r="CN148"/>
      <c r="CO148"/>
      <c r="CP148"/>
      <c r="CQ148"/>
      <c r="CR148"/>
      <c r="CS148"/>
      <c r="CT148"/>
      <c r="CU148"/>
      <c r="CV148"/>
      <c r="CW148"/>
      <c r="CX148"/>
      <c r="CY148"/>
      <c r="CZ148"/>
      <c r="DA148"/>
      <c r="DB148"/>
      <c r="DC148"/>
      <c r="DD148"/>
      <c r="DE148"/>
      <c r="DF148"/>
      <c r="DG148"/>
      <c r="DH148"/>
      <c r="DI148"/>
      <c r="DJ148"/>
      <c r="DK148"/>
      <c r="DL148"/>
      <c r="DM148"/>
      <c r="DN148"/>
      <c r="DO148" s="14"/>
      <c r="DP148" s="46"/>
      <c r="DQ148" s="14"/>
      <c r="DR148"/>
      <c r="DS148"/>
      <c r="DT148"/>
      <c r="DU148"/>
      <c r="DV148"/>
      <c r="DW148"/>
      <c r="DX148"/>
      <c r="DY148"/>
      <c r="DZ148"/>
      <c r="EA148"/>
      <c r="EB148"/>
      <c r="EC148"/>
      <c r="ED148"/>
      <c r="EE148"/>
      <c r="EF148"/>
      <c r="EG148"/>
      <c r="EH148"/>
      <c r="EI148"/>
      <c r="EJ148"/>
      <c r="EK148"/>
      <c r="EL148"/>
    </row>
    <row r="149" spans="54:142" s="5" customFormat="1">
      <c r="BB149" s="374"/>
      <c r="BO149"/>
      <c r="BP149"/>
      <c r="BQ149"/>
      <c r="BR149"/>
      <c r="BS149"/>
      <c r="BT149"/>
      <c r="BU149"/>
      <c r="BV149"/>
      <c r="BY149" s="47"/>
      <c r="BZ149"/>
      <c r="CA149"/>
      <c r="CB149" s="24"/>
      <c r="CC149" s="23"/>
      <c r="CD149"/>
      <c r="CE149"/>
      <c r="CL149"/>
      <c r="CM149"/>
      <c r="CN149"/>
      <c r="CO149"/>
      <c r="CP149"/>
      <c r="CQ149"/>
      <c r="CR149"/>
      <c r="CS149"/>
      <c r="CT149"/>
      <c r="CU149"/>
      <c r="CV149"/>
      <c r="CW149"/>
      <c r="CX149"/>
      <c r="CY149"/>
      <c r="CZ149"/>
      <c r="DA149"/>
      <c r="DB149"/>
      <c r="DC149"/>
      <c r="DD149"/>
      <c r="DE149"/>
      <c r="DF149"/>
      <c r="DG149"/>
      <c r="DH149"/>
      <c r="DI149"/>
      <c r="DJ149"/>
      <c r="DK149"/>
      <c r="DL149"/>
      <c r="DM149"/>
      <c r="DN149"/>
      <c r="DO149" s="14"/>
      <c r="DP149" s="46"/>
      <c r="DQ149" s="14"/>
      <c r="DR149"/>
      <c r="DS149"/>
      <c r="DT149"/>
      <c r="DU149"/>
      <c r="DV149"/>
      <c r="DW149"/>
      <c r="DX149"/>
      <c r="DY149"/>
      <c r="DZ149"/>
      <c r="EA149"/>
      <c r="EB149"/>
      <c r="EC149"/>
      <c r="ED149"/>
      <c r="EE149"/>
      <c r="EF149"/>
      <c r="EG149"/>
      <c r="EH149"/>
      <c r="EI149"/>
      <c r="EJ149"/>
      <c r="EK149"/>
      <c r="EL149"/>
    </row>
    <row r="150" spans="54:142" s="5" customFormat="1">
      <c r="BB150" s="374"/>
      <c r="BO150"/>
      <c r="BP150"/>
      <c r="BQ150"/>
      <c r="BR150"/>
      <c r="BS150"/>
      <c r="BT150"/>
      <c r="BU150"/>
      <c r="BV150"/>
      <c r="BY150" s="47"/>
      <c r="BZ150"/>
      <c r="CA150"/>
      <c r="CB150" s="24"/>
      <c r="CC150" s="23"/>
      <c r="CD150"/>
      <c r="CE150"/>
      <c r="CL150"/>
      <c r="CM150"/>
      <c r="CN150"/>
      <c r="CO150"/>
      <c r="CP150"/>
      <c r="CQ150"/>
      <c r="CR150"/>
      <c r="CS150"/>
      <c r="CT150"/>
      <c r="CU150"/>
      <c r="CV150"/>
      <c r="CW150"/>
      <c r="CX150"/>
      <c r="CY150"/>
      <c r="CZ150"/>
      <c r="DA150"/>
      <c r="DB150"/>
      <c r="DC150"/>
      <c r="DD150"/>
      <c r="DE150"/>
      <c r="DF150"/>
      <c r="DG150"/>
      <c r="DH150"/>
      <c r="DI150"/>
      <c r="DJ150"/>
      <c r="DK150"/>
      <c r="DL150"/>
      <c r="DM150"/>
      <c r="DN150"/>
      <c r="DO150" s="14"/>
      <c r="DP150" s="46"/>
      <c r="DQ150" s="14"/>
      <c r="DR150"/>
      <c r="DS150"/>
      <c r="DT150"/>
      <c r="DU150"/>
      <c r="DV150"/>
      <c r="DW150"/>
      <c r="DX150"/>
      <c r="DY150"/>
      <c r="DZ150"/>
      <c r="EA150"/>
      <c r="EB150"/>
      <c r="EC150"/>
      <c r="ED150"/>
      <c r="EE150"/>
      <c r="EF150"/>
      <c r="EG150"/>
      <c r="EH150"/>
      <c r="EI150"/>
      <c r="EJ150"/>
      <c r="EK150"/>
      <c r="EL150"/>
    </row>
    <row r="151" spans="54:142" s="5" customFormat="1">
      <c r="BB151" s="374"/>
      <c r="BO151"/>
      <c r="BP151"/>
      <c r="BQ151"/>
      <c r="BR151"/>
      <c r="BS151"/>
      <c r="BT151"/>
      <c r="BU151"/>
      <c r="BV151"/>
      <c r="BY151" s="47"/>
      <c r="BZ151"/>
      <c r="CA151"/>
      <c r="CB151" s="24"/>
      <c r="CC151" s="23"/>
      <c r="CD151"/>
      <c r="CE151"/>
      <c r="CL151"/>
      <c r="CM151"/>
      <c r="CN151"/>
      <c r="CO151"/>
      <c r="CP151"/>
      <c r="CQ151"/>
      <c r="CR151"/>
      <c r="CS151"/>
      <c r="CT151"/>
      <c r="CU151"/>
      <c r="CV151"/>
      <c r="CW151"/>
      <c r="CX151"/>
      <c r="CY151"/>
      <c r="CZ151"/>
      <c r="DA151"/>
      <c r="DB151"/>
      <c r="DC151"/>
      <c r="DD151"/>
      <c r="DE151"/>
      <c r="DF151"/>
      <c r="DG151"/>
      <c r="DH151"/>
      <c r="DI151"/>
      <c r="DJ151"/>
      <c r="DK151"/>
      <c r="DL151"/>
      <c r="DM151"/>
      <c r="DN151"/>
      <c r="DO151" s="14"/>
      <c r="DP151" s="46"/>
      <c r="DQ151" s="14"/>
      <c r="DR151"/>
      <c r="DS151"/>
      <c r="DT151"/>
      <c r="DU151"/>
      <c r="DV151"/>
      <c r="DW151"/>
      <c r="DX151"/>
      <c r="DY151"/>
      <c r="DZ151"/>
      <c r="EA151"/>
      <c r="EB151"/>
      <c r="EC151"/>
      <c r="ED151"/>
      <c r="EE151"/>
      <c r="EF151"/>
      <c r="EG151"/>
      <c r="EH151"/>
      <c r="EI151"/>
      <c r="EJ151"/>
      <c r="EK151"/>
      <c r="EL151"/>
    </row>
    <row r="152" spans="54:142" s="5" customFormat="1">
      <c r="BB152" s="374"/>
      <c r="BO152"/>
      <c r="BP152"/>
      <c r="BQ152"/>
      <c r="BR152"/>
      <c r="BS152"/>
      <c r="BT152"/>
      <c r="BU152"/>
      <c r="BV152"/>
      <c r="BY152" s="47"/>
      <c r="BZ152"/>
      <c r="CA152"/>
      <c r="CB152" s="24"/>
      <c r="CC152" s="23"/>
      <c r="CD152"/>
      <c r="CE152"/>
      <c r="CL152"/>
      <c r="CM152"/>
      <c r="CN152"/>
      <c r="CO152"/>
      <c r="CP152"/>
      <c r="CQ152"/>
      <c r="CR152"/>
      <c r="CS152"/>
      <c r="CT152"/>
      <c r="CU152"/>
      <c r="CV152"/>
      <c r="CW152"/>
      <c r="CX152"/>
      <c r="CY152"/>
      <c r="CZ152"/>
      <c r="DA152"/>
      <c r="DB152"/>
      <c r="DC152"/>
      <c r="DD152"/>
      <c r="DE152"/>
      <c r="DF152"/>
      <c r="DG152"/>
      <c r="DH152"/>
      <c r="DI152"/>
      <c r="DJ152"/>
      <c r="DK152"/>
      <c r="DL152"/>
      <c r="DM152"/>
      <c r="DN152"/>
      <c r="DO152" s="14"/>
      <c r="DP152" s="46"/>
      <c r="DQ152" s="14"/>
      <c r="DR152"/>
      <c r="DS152"/>
      <c r="DT152"/>
      <c r="DU152"/>
      <c r="DV152"/>
      <c r="DW152"/>
      <c r="DX152"/>
      <c r="DY152"/>
      <c r="DZ152"/>
      <c r="EA152"/>
      <c r="EB152"/>
      <c r="EC152"/>
      <c r="ED152"/>
      <c r="EE152"/>
      <c r="EF152"/>
      <c r="EG152"/>
      <c r="EH152"/>
      <c r="EI152"/>
      <c r="EJ152"/>
      <c r="EK152"/>
      <c r="EL152"/>
    </row>
    <row r="153" spans="54:142" s="5" customFormat="1">
      <c r="BB153" s="374"/>
      <c r="BO153"/>
      <c r="BP153"/>
      <c r="BQ153"/>
      <c r="BR153"/>
      <c r="BS153"/>
      <c r="BT153"/>
      <c r="BU153"/>
      <c r="BV153"/>
      <c r="BY153"/>
      <c r="BZ153"/>
      <c r="CA153"/>
      <c r="CB153"/>
      <c r="CC153"/>
      <c r="CD153"/>
      <c r="CE153"/>
      <c r="CL153"/>
      <c r="CM153"/>
      <c r="CN153"/>
      <c r="CO153"/>
      <c r="CP153"/>
      <c r="CQ153"/>
      <c r="CR153"/>
      <c r="CS153"/>
      <c r="CT153"/>
      <c r="CU153"/>
      <c r="CV153"/>
      <c r="CW153"/>
      <c r="CX153"/>
      <c r="CY153"/>
      <c r="CZ153"/>
      <c r="DA153"/>
      <c r="DB153"/>
      <c r="DC153"/>
      <c r="DD153"/>
      <c r="DE153"/>
      <c r="DF153"/>
      <c r="DG153"/>
      <c r="DH153"/>
      <c r="DI153"/>
      <c r="DJ153"/>
      <c r="DK153"/>
      <c r="DL153"/>
      <c r="DM153"/>
      <c r="DN153"/>
      <c r="DO153" s="14"/>
      <c r="DP153" s="46"/>
      <c r="DQ153" s="14"/>
      <c r="DR153"/>
      <c r="DS153"/>
      <c r="DT153"/>
      <c r="DU153"/>
      <c r="DV153"/>
      <c r="DW153"/>
      <c r="DX153"/>
      <c r="DY153"/>
      <c r="DZ153"/>
      <c r="EA153"/>
      <c r="EB153"/>
      <c r="EC153"/>
      <c r="ED153"/>
      <c r="EE153"/>
      <c r="EF153"/>
      <c r="EG153"/>
      <c r="EH153"/>
      <c r="EI153"/>
      <c r="EJ153"/>
      <c r="EK153"/>
      <c r="EL153"/>
    </row>
    <row r="154" spans="54:142">
      <c r="BB154" s="374"/>
      <c r="BY154"/>
      <c r="BZ154"/>
      <c r="CA154"/>
      <c r="CB154"/>
      <c r="CC154"/>
      <c r="CD154"/>
      <c r="CE154"/>
    </row>
    <row r="155" spans="54:142">
      <c r="BB155" s="374"/>
      <c r="BZ155"/>
      <c r="CA155"/>
      <c r="CB155" s="24"/>
      <c r="CC155" s="23"/>
      <c r="CD155"/>
      <c r="CE155"/>
    </row>
  </sheetData>
  <sheetProtection selectLockedCells="1"/>
  <mergeCells count="86">
    <mergeCell ref="EI2:EK2"/>
    <mergeCell ref="AE3:AI3"/>
    <mergeCell ref="DX3:DY3"/>
    <mergeCell ref="EB3:ED3"/>
    <mergeCell ref="BG4:BL4"/>
    <mergeCell ref="BM4:BN4"/>
    <mergeCell ref="AE2:AX2"/>
    <mergeCell ref="BO2:BS2"/>
    <mergeCell ref="BT2:CC2"/>
    <mergeCell ref="DB2:DC2"/>
    <mergeCell ref="DU2:DW3"/>
    <mergeCell ref="EB2:EG2"/>
    <mergeCell ref="BG18:BG19"/>
    <mergeCell ref="BH18:BL19"/>
    <mergeCell ref="EO4:EP4"/>
    <mergeCell ref="BH5:BJ5"/>
    <mergeCell ref="BN5:BN28"/>
    <mergeCell ref="BG6:BG7"/>
    <mergeCell ref="BH6:BL7"/>
    <mergeCell ref="BG8:BG9"/>
    <mergeCell ref="BH8:BL9"/>
    <mergeCell ref="BG10:BG11"/>
    <mergeCell ref="BH10:BL11"/>
    <mergeCell ref="BG12:BG13"/>
    <mergeCell ref="BH12:BL13"/>
    <mergeCell ref="BG14:BG15"/>
    <mergeCell ref="BH14:BL15"/>
    <mergeCell ref="BG16:BG17"/>
    <mergeCell ref="BH16:BL17"/>
    <mergeCell ref="BH26:BL27"/>
    <mergeCell ref="BG20:BG21"/>
    <mergeCell ref="BH20:BL21"/>
    <mergeCell ref="B21:C21"/>
    <mergeCell ref="AB21:AC21"/>
    <mergeCell ref="D22:AA22"/>
    <mergeCell ref="AB22:AC25"/>
    <mergeCell ref="BG22:BG23"/>
    <mergeCell ref="BH22:BL23"/>
    <mergeCell ref="BG24:BG25"/>
    <mergeCell ref="BH24:BL25"/>
    <mergeCell ref="AG25:AV25"/>
    <mergeCell ref="AW25:AX25"/>
    <mergeCell ref="AG26:AV26"/>
    <mergeCell ref="AW26:AX26"/>
    <mergeCell ref="BG26:BG27"/>
    <mergeCell ref="B31:M31"/>
    <mergeCell ref="B32:M33"/>
    <mergeCell ref="BG32:BM32"/>
    <mergeCell ref="BN32:BN33"/>
    <mergeCell ref="BD45:BE45"/>
    <mergeCell ref="B46:H46"/>
    <mergeCell ref="BA46:BB46"/>
    <mergeCell ref="C47:H47"/>
    <mergeCell ref="EA30:EA35"/>
    <mergeCell ref="B35:M35"/>
    <mergeCell ref="AG36:AY36"/>
    <mergeCell ref="B37:M37"/>
    <mergeCell ref="B38:M39"/>
    <mergeCell ref="AG39:AH39"/>
    <mergeCell ref="B34:M34"/>
    <mergeCell ref="BN30:BN31"/>
    <mergeCell ref="DX30:DX35"/>
    <mergeCell ref="DY30:DY35"/>
    <mergeCell ref="DZ30:DZ35"/>
    <mergeCell ref="AZ41:AZ42"/>
    <mergeCell ref="BA41:BJ43"/>
    <mergeCell ref="B42:M42"/>
    <mergeCell ref="AW42:AX42"/>
    <mergeCell ref="B43:M43"/>
    <mergeCell ref="AS43:AS44"/>
    <mergeCell ref="AT43:AX44"/>
    <mergeCell ref="B44:M44"/>
    <mergeCell ref="B40:M41"/>
    <mergeCell ref="AX41:AY41"/>
    <mergeCell ref="C48:H48"/>
    <mergeCell ref="BA70:BA79"/>
    <mergeCell ref="BW75:CB79"/>
    <mergeCell ref="BA87:BA92"/>
    <mergeCell ref="C50:H50"/>
    <mergeCell ref="C51:H51"/>
    <mergeCell ref="C52:J52"/>
    <mergeCell ref="AG56:AH56"/>
    <mergeCell ref="BX59:BX69"/>
    <mergeCell ref="BN63:BN65"/>
    <mergeCell ref="C49:H49"/>
    <mergeCell ref="BB49:BC49"/>
  </mergeCells>
  <pageMargins left="0.7" right="0.7" top="0.75" bottom="0" header="0.3" footer="0.3"/>
  <pageSetup scale="34" orientation="portrait" r:id="rId1"/>
  <colBreaks count="1" manualBreakCount="1">
    <brk id="66"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tabColor rgb="FF24594F"/>
  </sheetPr>
  <dimension ref="A2:FO155"/>
  <sheetViews>
    <sheetView topLeftCell="A1" zoomScale="90" zoomScaleNormal="110" workbookViewId="0" showGridLines="0">
      <selection activeCell="CB6" sqref="CB6"/>
    </sheetView>
  </sheetViews>
  <sheetFormatPr defaultColWidth="10.449" defaultRowHeight="16"/>
  <cols>
    <col min="1" max="1" width="2.862" customWidth="1"/>
    <col min="2" max="2" width="18.202" bestFit="1" customWidth="1"/>
    <col min="3" max="30" width="6.066" customWidth="1"/>
    <col min="31" max="32" width="6.909" customWidth="1"/>
    <col min="33" max="33" width="9.269" customWidth="1"/>
    <col min="34" max="35" width="6.402" customWidth="1"/>
    <col min="36" max="37" width="5.222" customWidth="1"/>
    <col min="38" max="38" width="6.402" customWidth="1"/>
    <col min="39" max="39" width="5.222" customWidth="1"/>
    <col min="40" max="41" width="6.402" customWidth="1"/>
    <col min="42" max="50" width="5.222" customWidth="1"/>
    <col min="51" max="51" width="16.349" customWidth="1"/>
    <col min="52" max="52" width="8.26" customWidth="1"/>
    <col min="53" max="53" width="9.942" customWidth="1"/>
    <col min="54" max="54" width="9.942" style="36" customWidth="1"/>
    <col min="55" max="55" width="9.942" customWidth="1"/>
    <col min="56" max="56" width="10.449" customWidth="1"/>
    <col min="57" max="57" width="14.662" customWidth="1"/>
    <col min="58" max="62" width="15.169" customWidth="1"/>
    <col min="63" max="64" width="12.302" customWidth="1"/>
    <col min="66" max="66" width="12.809" customWidth="1"/>
    <col min="68" max="69" width="9.942" customWidth="1"/>
    <col min="70" max="70" width="12.809" customWidth="1"/>
    <col min="72" max="72" width="12.809" customWidth="1"/>
    <col min="75" max="75" width="12.809" customWidth="1"/>
    <col min="76" max="76" width="10.449" style="5" customWidth="1"/>
    <col min="77" max="86" width="12.809" style="5" customWidth="1"/>
    <col min="87" max="87" width="13.989" style="5" customWidth="1"/>
    <col min="88" max="92" width="12.809" style="5" customWidth="1"/>
    <col min="93" max="103" width="12.809" customWidth="1"/>
    <col min="104" max="104" width="12.302" customWidth="1"/>
    <col min="105" max="105" width="11.629" customWidth="1"/>
    <col min="108" max="108" width="17.7" customWidth="1"/>
    <col min="109" max="109" width="13.482" bestFit="1" customWidth="1"/>
    <col min="110" max="111" width="12.809" customWidth="1"/>
    <col min="112" max="118" width="15.169" customWidth="1"/>
    <col min="119" max="119" width="17.7" customWidth="1"/>
    <col min="120" max="120" width="13.482" customWidth="1"/>
    <col min="121" max="121" width="11.629" customWidth="1"/>
    <col min="122" max="122" width="15.169" style="14" customWidth="1"/>
    <col min="123" max="123" width="15.169" style="46" customWidth="1"/>
    <col min="124" max="124" width="15.169" style="14" customWidth="1"/>
    <col min="125" max="125" width="17.7" customWidth="1"/>
    <col min="126" max="126" width="13.989" customWidth="1"/>
    <col min="127" max="129" width="12.809" customWidth="1"/>
    <col min="130" max="131" width="11.629" customWidth="1"/>
    <col min="132" max="133" width="12.809" customWidth="1"/>
    <col min="134" max="135" width="11.629" customWidth="1"/>
    <col min="136" max="136" width="12.809" customWidth="1"/>
    <col min="137" max="139" width="11.629" customWidth="1"/>
    <col min="140" max="140" width="15.169" customWidth="1"/>
    <col min="141" max="142" width="11.629" customWidth="1"/>
    <col min="143" max="145" width="12.809" customWidth="1"/>
  </cols>
  <sheetData>
    <row r="2" spans="1:171" ht="16.44">
      <c r="AE2" s="393" t="s">
        <v>270</v>
      </c>
      <c r="AF2" s="393"/>
      <c r="AG2" s="393"/>
      <c r="AH2" s="393"/>
      <c r="AI2" s="393"/>
      <c r="AJ2" s="393"/>
      <c r="AK2" s="393"/>
      <c r="AL2" s="393"/>
      <c r="AM2" s="393"/>
      <c r="AN2" s="393"/>
      <c r="AO2" s="393"/>
      <c r="AP2" s="393"/>
      <c r="AQ2" s="393"/>
      <c r="AR2" s="393"/>
      <c r="AS2" s="393"/>
      <c r="AT2" s="393"/>
      <c r="AU2" s="393"/>
      <c r="AV2" s="393"/>
      <c r="AW2" s="393"/>
      <c r="AX2" s="393"/>
      <c r="BB2" s="374"/>
      <c r="BO2" s="382" t="s">
        <v>1</v>
      </c>
      <c r="BP2" s="382"/>
      <c r="BQ2" s="382"/>
      <c r="BR2" s="382"/>
      <c r="BS2" s="382"/>
      <c r="BT2" s="382"/>
      <c r="BU2" s="383" t="s">
        <v>2</v>
      </c>
      <c r="BV2" s="383"/>
      <c r="BW2" s="383"/>
      <c r="BX2" s="383"/>
      <c r="BY2" s="383"/>
      <c r="BZ2" s="383"/>
      <c r="CA2" s="383"/>
      <c r="CB2" s="383"/>
      <c r="CC2" s="383"/>
      <c r="CD2" s="383"/>
      <c r="CE2" s="383"/>
      <c r="CF2" s="383"/>
      <c r="CG2"/>
      <c r="CH2"/>
      <c r="CI2" s="78"/>
      <c r="CJ2" s="94" t="s">
        <v>3</v>
      </c>
      <c r="CK2" s="78"/>
      <c r="CL2" s="78"/>
      <c r="CM2" s="78"/>
      <c r="CN2" s="78"/>
      <c r="CO2" s="78"/>
      <c r="CP2" s="93"/>
      <c r="CQ2" s="78"/>
      <c r="CR2" s="78"/>
      <c r="CS2" s="43"/>
      <c r="CT2" s="95" t="s">
        <v>4</v>
      </c>
      <c r="CU2" s="43"/>
      <c r="CV2" s="43"/>
      <c r="CW2" s="43"/>
      <c r="CX2" s="43"/>
      <c r="CY2" s="43"/>
      <c r="CZ2" s="43"/>
      <c r="DA2" s="43"/>
      <c r="DB2" s="43"/>
      <c r="DC2" s="43"/>
      <c r="DD2" s="110" t="s">
        <v>5</v>
      </c>
      <c r="DE2" s="384" t="s">
        <v>6</v>
      </c>
      <c r="DF2" s="384"/>
      <c r="DG2" s="374"/>
      <c r="DH2" s="361" t="s">
        <v>7</v>
      </c>
      <c r="DI2" s="46"/>
      <c r="DJ2" s="46"/>
      <c r="DK2" s="110" t="s">
        <v>8</v>
      </c>
      <c r="DM2" s="369" t="s">
        <v>9</v>
      </c>
      <c r="DN2" s="369" t="s">
        <v>9</v>
      </c>
      <c r="DO2" s="184" t="s">
        <v>8</v>
      </c>
      <c r="DP2" s="369" t="s">
        <v>9</v>
      </c>
      <c r="DQ2" s="374"/>
      <c r="DR2" s="46"/>
      <c r="DT2" s="369" t="s">
        <v>9</v>
      </c>
      <c r="DU2" s="361" t="s">
        <v>7</v>
      </c>
      <c r="DV2" s="361"/>
      <c r="DX2" s="385" t="s">
        <v>10</v>
      </c>
      <c r="DY2" s="385"/>
      <c r="DZ2" s="385"/>
      <c r="EE2" s="387" t="s">
        <v>11</v>
      </c>
      <c r="EF2" s="387"/>
      <c r="EG2" s="387"/>
      <c r="EH2" s="387"/>
      <c r="EI2" s="387"/>
      <c r="EJ2" s="387"/>
      <c r="EL2" s="388" t="s">
        <v>12</v>
      </c>
      <c r="EM2" s="388"/>
      <c r="EN2" s="388"/>
    </row>
    <row r="3" spans="1:171" s="118" customFormat="1" ht="16" customHeight="1">
      <c r="J3" s="118">
        <v>100</v>
      </c>
      <c r="K3" s="118">
        <v>50</v>
      </c>
      <c r="P3" s="118">
        <v>50</v>
      </c>
      <c r="Q3" s="118">
        <v>85</v>
      </c>
      <c r="R3" s="118" t="s">
        <v>13</v>
      </c>
      <c r="AE3" s="452"/>
      <c r="AF3" s="452"/>
      <c r="AG3" s="452"/>
      <c r="AH3" s="452"/>
      <c r="AI3" s="452"/>
      <c r="AJ3" s="204"/>
      <c r="AK3" s="204"/>
      <c r="AL3" s="204"/>
      <c r="AM3" s="204"/>
      <c r="AN3" s="204"/>
      <c r="AO3" s="204"/>
      <c r="AP3" s="204"/>
      <c r="AQ3" s="204"/>
      <c r="AR3" s="204"/>
      <c r="AS3" s="204"/>
      <c r="AT3" s="204"/>
      <c r="AU3" s="204"/>
      <c r="AV3" s="204"/>
      <c r="AW3" s="204"/>
      <c r="AX3" s="204"/>
      <c r="BB3" s="372"/>
      <c r="BE3" s="372" t="s">
        <v>14</v>
      </c>
      <c r="BM3" s="202"/>
      <c r="BN3" s="202"/>
      <c r="BO3" s="203" t="s">
        <v>15</v>
      </c>
      <c r="BP3" s="138"/>
      <c r="BQ3" s="138"/>
      <c r="BR3" s="372" t="s">
        <v>14</v>
      </c>
      <c r="BS3" s="138"/>
      <c r="BT3" s="372" t="s">
        <v>14</v>
      </c>
      <c r="BU3" s="372"/>
      <c r="BV3" s="372"/>
      <c r="BW3" s="372" t="s">
        <v>14</v>
      </c>
      <c r="BX3" s="372"/>
      <c r="BY3" s="372" t="s">
        <v>14</v>
      </c>
      <c r="BZ3" s="372" t="s">
        <v>14</v>
      </c>
      <c r="CA3" s="372"/>
      <c r="CB3" s="372"/>
      <c r="CC3" s="372"/>
      <c r="CD3" s="372"/>
      <c r="CE3" s="372"/>
      <c r="CF3" s="372" t="s">
        <v>14</v>
      </c>
      <c r="CG3" s="138"/>
      <c r="CH3" s="372" t="s">
        <v>14</v>
      </c>
      <c r="CI3" s="372"/>
      <c r="CJ3" s="372"/>
      <c r="CK3" s="372"/>
      <c r="CL3" s="372"/>
      <c r="CM3" s="372" t="s">
        <v>16</v>
      </c>
      <c r="CN3" s="118" t="s">
        <v>16</v>
      </c>
      <c r="CO3" s="372" t="s">
        <v>14</v>
      </c>
      <c r="CP3" s="372" t="s">
        <v>14</v>
      </c>
      <c r="CQ3" s="372"/>
      <c r="CR3" s="372"/>
      <c r="CS3" s="372"/>
      <c r="CT3" s="372"/>
      <c r="CU3" s="372"/>
      <c r="CV3" s="372"/>
      <c r="CW3" s="372" t="s">
        <v>16</v>
      </c>
      <c r="CX3" s="118" t="s">
        <v>16</v>
      </c>
      <c r="CY3" s="372"/>
      <c r="CZ3" s="372"/>
      <c r="DA3" s="372" t="s">
        <v>14</v>
      </c>
      <c r="DB3" s="372"/>
      <c r="DC3" s="372"/>
      <c r="DD3" s="372" t="s">
        <v>14</v>
      </c>
      <c r="DE3" s="372" t="s">
        <v>14</v>
      </c>
      <c r="DF3" s="118" t="s">
        <v>14</v>
      </c>
      <c r="DG3" s="372"/>
      <c r="DH3" s="372"/>
      <c r="DI3" s="200" t="s">
        <v>14</v>
      </c>
      <c r="DJ3" s="201" t="s">
        <v>14</v>
      </c>
      <c r="DK3" s="372" t="s">
        <v>14</v>
      </c>
      <c r="DN3" s="372" t="s">
        <v>14</v>
      </c>
      <c r="DO3" s="138" t="s">
        <v>14</v>
      </c>
      <c r="DP3" s="194" t="s">
        <v>14</v>
      </c>
      <c r="DQ3" s="372"/>
      <c r="DR3" s="372"/>
      <c r="DS3" s="372"/>
      <c r="DT3" s="372" t="s">
        <v>14</v>
      </c>
      <c r="DU3" s="372"/>
      <c r="DV3" s="372"/>
      <c r="DW3" s="372"/>
      <c r="DX3" s="385"/>
      <c r="DY3" s="385"/>
      <c r="DZ3" s="385"/>
      <c r="EA3" s="389" t="s">
        <v>14</v>
      </c>
      <c r="EB3" s="389"/>
      <c r="EC3" s="371"/>
      <c r="ED3" s="371"/>
      <c r="EE3" s="390" t="s">
        <v>14</v>
      </c>
      <c r="EF3" s="391"/>
      <c r="EG3" s="391"/>
      <c r="EH3" s="372"/>
      <c r="EI3" s="372" t="s">
        <v>14</v>
      </c>
      <c r="EJ3" s="372" t="s">
        <v>14</v>
      </c>
      <c r="EK3" s="372"/>
      <c r="EM3" s="118" t="s">
        <v>14</v>
      </c>
      <c r="EN3" s="372" t="s">
        <v>14</v>
      </c>
    </row>
    <row r="4" spans="1:171" ht="111.56" customHeight="1">
      <c r="A4" s="283"/>
      <c r="AE4" s="300"/>
      <c r="AF4" s="281"/>
      <c r="AL4" s="190"/>
      <c r="AM4" s="190"/>
      <c r="AN4" s="190"/>
      <c r="AT4" s="190"/>
      <c r="AU4" s="190"/>
      <c r="AV4" s="190"/>
      <c r="AW4" s="190"/>
      <c r="AZ4" s="367" t="s">
        <v>17</v>
      </c>
      <c r="BA4" s="1" t="s">
        <v>18</v>
      </c>
      <c r="BB4" s="367" t="s">
        <v>19</v>
      </c>
      <c r="BC4" s="172" t="s">
        <v>20</v>
      </c>
      <c r="BD4" s="98" t="str">
        <f>DZ4</f>
        <v>Comptage par lavage à l’alcool d’environ 120 mL de jeunes abeilles (½ tasse dans l’original)</v>
      </c>
      <c r="BE4" s="125" t="s">
        <v>21</v>
      </c>
      <c r="BF4" s="367" t="s">
        <v>22</v>
      </c>
      <c r="BG4" s="385" t="s">
        <v>23</v>
      </c>
      <c r="BH4" s="385"/>
      <c r="BI4" s="385"/>
      <c r="BJ4" s="385"/>
      <c r="BK4" s="385"/>
      <c r="BL4" s="385"/>
      <c r="BM4" s="386" t="s">
        <v>24</v>
      </c>
      <c r="BN4" s="386"/>
      <c r="BO4" s="363" t="s">
        <v>25</v>
      </c>
      <c r="BP4" s="52" t="s">
        <v>26</v>
      </c>
      <c r="BQ4" s="341" t="s">
        <v>271</v>
      </c>
      <c r="BR4" s="19" t="s">
        <v>27</v>
      </c>
      <c r="BS4" s="375" t="s">
        <v>28</v>
      </c>
      <c r="BT4" s="20" t="s">
        <v>29</v>
      </c>
      <c r="BU4" s="368" t="s">
        <v>30</v>
      </c>
      <c r="BV4" s="368" t="s">
        <v>31</v>
      </c>
      <c r="BW4" s="368" t="s">
        <v>32</v>
      </c>
      <c r="BX4" s="368" t="s">
        <v>33</v>
      </c>
      <c r="BY4" s="112" t="s">
        <v>34</v>
      </c>
      <c r="BZ4" s="111" t="s">
        <v>35</v>
      </c>
      <c r="CA4" s="368" t="s">
        <v>36</v>
      </c>
      <c r="CB4" s="344" t="s">
        <v>37</v>
      </c>
      <c r="CC4" s="102" t="s">
        <v>272</v>
      </c>
      <c r="CD4" s="102"/>
      <c r="CE4" s="368" t="s">
        <v>38</v>
      </c>
      <c r="CF4" s="368" t="s">
        <v>39</v>
      </c>
      <c r="CG4" s="137" t="s">
        <v>40</v>
      </c>
      <c r="CH4" s="19" t="s">
        <v>41</v>
      </c>
      <c r="CI4" s="57" t="s">
        <v>42</v>
      </c>
      <c r="CJ4" s="57" t="s">
        <v>43</v>
      </c>
      <c r="CK4" s="57" t="s">
        <v>44</v>
      </c>
      <c r="CL4" s="57" t="s">
        <v>45</v>
      </c>
      <c r="CM4" s="57" t="s">
        <v>46</v>
      </c>
      <c r="CN4" s="57" t="s">
        <v>47</v>
      </c>
      <c r="CO4" s="57" t="s">
        <v>48</v>
      </c>
      <c r="CP4" s="57" t="s">
        <v>49</v>
      </c>
      <c r="CQ4" s="57" t="s">
        <v>50</v>
      </c>
      <c r="CR4" s="57" t="s">
        <v>51</v>
      </c>
      <c r="CS4" s="357" t="s">
        <v>52</v>
      </c>
      <c r="CT4" s="58" t="s">
        <v>53</v>
      </c>
      <c r="CU4" s="357" t="s">
        <v>54</v>
      </c>
      <c r="CV4" s="357" t="s">
        <v>55</v>
      </c>
      <c r="CW4" s="358" t="s">
        <v>56</v>
      </c>
      <c r="CX4" s="358" t="s">
        <v>57</v>
      </c>
      <c r="CY4" s="357" t="s">
        <v>58</v>
      </c>
      <c r="CZ4" s="357" t="s">
        <v>59</v>
      </c>
      <c r="DA4" s="357" t="s">
        <v>49</v>
      </c>
      <c r="DB4" s="357" t="s">
        <v>50</v>
      </c>
      <c r="DC4" s="357" t="s">
        <v>60</v>
      </c>
      <c r="DD4" s="362" t="s">
        <v>61</v>
      </c>
      <c r="DE4" s="105" t="s">
        <v>62</v>
      </c>
      <c r="DF4" s="105" t="s">
        <v>63</v>
      </c>
      <c r="DG4" s="105"/>
      <c r="DH4" s="45" t="s">
        <v>64</v>
      </c>
      <c r="DI4" s="105" t="s">
        <v>65</v>
      </c>
      <c r="DJ4" s="105" t="s">
        <v>66</v>
      </c>
      <c r="DK4" s="115" t="s">
        <v>67</v>
      </c>
      <c r="DL4" s="105" t="s">
        <v>68</v>
      </c>
      <c r="DM4" s="106" t="s">
        <v>69</v>
      </c>
      <c r="DN4" s="106" t="s">
        <v>70</v>
      </c>
      <c r="DO4" s="185" t="s">
        <v>71</v>
      </c>
      <c r="DP4" s="108" t="s">
        <v>72</v>
      </c>
      <c r="DQ4" s="81" t="s">
        <v>73</v>
      </c>
      <c r="DR4" s="105" t="s">
        <v>74</v>
      </c>
      <c r="DS4" s="80" t="s">
        <v>75</v>
      </c>
      <c r="DT4" s="106" t="s">
        <v>76</v>
      </c>
      <c r="DU4" s="45" t="s">
        <v>77</v>
      </c>
      <c r="DV4" s="368" t="s">
        <v>78</v>
      </c>
      <c r="DW4" s="363" t="s">
        <v>25</v>
      </c>
      <c r="DX4" s="368" t="s">
        <v>79</v>
      </c>
      <c r="DY4" s="368" t="s">
        <v>80</v>
      </c>
      <c r="DZ4" s="51" t="s">
        <v>81</v>
      </c>
      <c r="EA4" s="349" t="s">
        <v>82</v>
      </c>
      <c r="EB4" s="349" t="s">
        <v>83</v>
      </c>
      <c r="EC4" s="349" t="s">
        <v>84</v>
      </c>
      <c r="ED4" s="349" t="s">
        <v>85</v>
      </c>
      <c r="EE4" s="368" t="s">
        <v>86</v>
      </c>
      <c r="EF4" s="368" t="s">
        <v>87</v>
      </c>
      <c r="EG4" s="368" t="s">
        <v>88</v>
      </c>
      <c r="EH4" s="368" t="s">
        <v>89</v>
      </c>
      <c r="EI4" s="368" t="s">
        <v>90</v>
      </c>
      <c r="EJ4" s="195" t="s">
        <v>91</v>
      </c>
      <c r="EL4" s="368" t="s">
        <v>92</v>
      </c>
      <c r="EM4" s="134" t="s">
        <v>93</v>
      </c>
      <c r="EN4" s="368" t="s">
        <v>94</v>
      </c>
      <c r="ER4" s="392" t="s">
        <v>95</v>
      </c>
      <c r="ES4" s="392"/>
      <c r="EU4" s="186" t="s">
        <v>96</v>
      </c>
      <c r="EV4" s="368" t="s">
        <v>97</v>
      </c>
    </row>
    <row r="5" spans="1:171" ht="16.44">
      <c r="B5" s="284"/>
      <c r="AZ5" s="288">
        <f>IF($AB$21="x", ES5,ER5)</f>
        <v>40544</v>
      </c>
      <c r="BA5" s="48">
        <f t="shared" ref="BA5:BA28" si="0">IF(ED5&gt;0,"",DH5)</f>
        <v>100</v>
      </c>
      <c r="BB5" s="222">
        <f>IF(ED5&gt;0,"",DV5)</f>
        <v>-5.0125418235442759E-3</v>
      </c>
      <c r="BC5" s="173">
        <f t="shared" ref="BC5:BC29" si="1">IF(ED5&gt;0,"",DO5)</f>
        <v>0</v>
      </c>
      <c r="BD5" s="99">
        <f>IF(ED5&gt;0,"",DZ5)</f>
        <v>1.96875</v>
      </c>
      <c r="BE5" s="4" t="str">
        <f t="shared" ref="BE5:BE29" si="2">IF(ED5&gt;0,"",IF(BT5&lt;5,"s.o.",CW5))</f>
        <v>s.o.</v>
      </c>
      <c r="BF5" s="3">
        <f t="shared" ref="BF5:BF29" si="3">IF(ED5&gt;0,"",CA5)</f>
        <v>1</v>
      </c>
      <c r="BG5" s="6"/>
      <c r="BH5" s="393"/>
      <c r="BI5" s="393"/>
      <c r="BJ5" s="393"/>
      <c r="BK5" s="6"/>
      <c r="BL5" s="6"/>
      <c r="BM5" s="6"/>
      <c r="BN5" s="392" t="s">
        <v>98</v>
      </c>
      <c r="BO5" s="158">
        <f>AZ5</f>
        <v>40544</v>
      </c>
      <c r="BP5" s="373">
        <f>IF($AZ$32="d",'Profils de colonie'!I31,IF($AZ$32="n",'Profils de colonie'!I59,IF($AZ$32="p",'Profils de colonie'!I87,IF($AZ$32="a",'Profils de colonie'!I115,IF($AZ$32="b",'Profils de colonie'!I143,IF($AZ$32="c",'Profils de colonie'!I171,IF($AZ$32="r",'Profils de colonie'!I199,IF($AZ$32="s",'Profils de colonie'!I227,IF($AZ$32="f",'Profils de colonie'!I255,"erreur")))))))))</f>
        <v>8</v>
      </c>
      <c r="BQ5" s="141">
        <v>2000</v>
      </c>
      <c r="BR5">
        <f>BP5*BQ5</f>
        <v>16000</v>
      </c>
      <c r="BS5" s="68">
        <f>IF($AZ$32="d",'Profils de colonie'!G31,IF($AZ$32="n",'Profils de colonie'!G59,IF($AZ$32="p",'Profils de colonie'!G87,IF($AZ$32="a",'Profils de colonie'!G115,IF($AZ$32="b",'Profils de colonie'!G143,IF($AZ$32="c",'Profils de colonie'!G171,IF($AZ$32="r",'Profils de colonie'!G199,IF($AZ$32="s",'Profils de colonie'!G227,IF($AZ$32="f",'Profils de colonie'!G255,"erreur")))))))))</f>
        <v>0</v>
      </c>
      <c r="BT5" s="13">
        <f t="shared" ref="BT5:BT28" si="4">IF(BS5=0,1,$BP$44*BS5)</f>
        <v>1</v>
      </c>
      <c r="BU5" s="17">
        <f t="shared" ref="BU5:BU28" si="5">IF(BR5=0,0,BT5/BR5)</f>
        <v>6.2500000000000001E-5</v>
      </c>
      <c r="BV5">
        <f>BT5*12/20</f>
        <v>0.6</v>
      </c>
      <c r="BW5" s="14">
        <f>CW5*BV5</f>
        <v>0</v>
      </c>
      <c r="BX5" s="14">
        <f t="shared" ref="BX5:BX28" si="6">BT5/20</f>
        <v>0.05</v>
      </c>
      <c r="BY5" s="89">
        <f>IF(BU5=0,0.001,(-$BP$43*LN(BU5))+$BP$42)</f>
        <v>53.401720006109592</v>
      </c>
      <c r="BZ5" s="21">
        <f t="shared" ref="BZ5:BZ28" si="7">BY5+12</f>
        <v>65.401720006109599</v>
      </c>
      <c r="CA5" s="26">
        <f t="shared" ref="CA5:CA28" si="8">IF(BS5=0,1,BY5/BZ5)</f>
        <v>1</v>
      </c>
      <c r="CB5" s="345">
        <f t="shared" ref="CB5:CB28" si="9">1-CA5</f>
        <v>0</v>
      </c>
      <c r="CC5" s="343">
        <f>BV5/BR5</f>
        <v>3.7499999999999997E-5</v>
      </c>
      <c r="CD5" s="343"/>
      <c r="CE5" s="22">
        <f t="shared" ref="CE5:CE29" si="10">DH5*CB5</f>
        <v>0</v>
      </c>
      <c r="CF5" s="5">
        <f t="shared" ref="CF5:CF28" si="11">0.6*BT5</f>
        <v>0.6</v>
      </c>
      <c r="CG5" s="67">
        <f>IF($AZ$32="d",'Profils de colonie'!K31,IF($AZ$32="n",'Profils de colonie'!K59,IF($AZ$32="p",'Profils de colonie'!K87,IF($AZ$32="a",'Profils de colonie'!K115,IF($AZ$32="b",'Profils de colonie'!K143,IF($AZ$32="c",'Profils de colonie'!K171,IF($AZ$32="r",'Profils de colonie'!K199,IF($AZ$32="s",'Profils de colonie'!K199,IF($AZ$32="f",'Profils de colonie'!K255,"erreur")))))))))</f>
        <v>0</v>
      </c>
      <c r="CH5" s="87">
        <f>CG5*16/25</f>
        <v>0</v>
      </c>
      <c r="CI5" s="63">
        <f>CH5*$BP$43</f>
        <v>0</v>
      </c>
      <c r="CJ5" s="84">
        <f>CI5*CB5</f>
        <v>0</v>
      </c>
      <c r="CK5" s="60">
        <f t="shared" ref="CK5:CK28" si="12">CI5*CE5</f>
        <v>0</v>
      </c>
      <c r="CL5" s="61">
        <f>IF(CH5=0,0,CK5/(CF5*CH5))</f>
        <v>0</v>
      </c>
      <c r="CM5" s="266">
        <f t="shared" ref="CM5:CM29" si="13">1-(POISSON(0,CL5,FALSE))</f>
        <v>0</v>
      </c>
      <c r="CN5" s="267">
        <f>IF(CM5=0,0,CL5/CM5)</f>
        <v>0</v>
      </c>
      <c r="CO5" s="61">
        <f t="shared" ref="CO5:CO28" si="14">BY5+15</f>
        <v>68.401720006109599</v>
      </c>
      <c r="CP5" s="265">
        <v>1</v>
      </c>
      <c r="CQ5" s="71">
        <f t="shared" ref="CQ5:CQ28" si="15">(1+($BP$32*CP5))*$BP$47</f>
        <v>4.2749999999999995</v>
      </c>
      <c r="CR5" s="65">
        <f>LN(CQ5)/14.75</f>
        <v>9.8493837450082944E-2</v>
      </c>
      <c r="CS5" s="85">
        <f>1-CA5-CJ5</f>
        <v>0</v>
      </c>
      <c r="CT5" s="59">
        <f>(1-CH5)*CF5</f>
        <v>0.6</v>
      </c>
      <c r="CU5" s="59">
        <f t="shared" ref="CU5:CU28" si="16">CE5-CK5</f>
        <v>0</v>
      </c>
      <c r="CV5" s="62">
        <f t="shared" ref="CV5:CV28" si="17">CU5/CT5</f>
        <v>0</v>
      </c>
      <c r="CW5" s="263">
        <f t="shared" ref="CW5:CW29" si="18">1-(POISSON(0,CV5,FALSE))</f>
        <v>0</v>
      </c>
      <c r="CX5" s="265">
        <f>CV5/(CW5+0.000001)</f>
        <v>0</v>
      </c>
      <c r="CY5" s="64">
        <f t="shared" ref="CY5:CY29" si="19">1-CI5</f>
        <v>1</v>
      </c>
      <c r="CZ5" s="62">
        <f t="shared" ref="CZ5:CZ29" si="20">BY5+12</f>
        <v>65.401720006109599</v>
      </c>
      <c r="DA5" s="264">
        <v>1</v>
      </c>
      <c r="DB5" s="70">
        <f>(1+($BP$30*DA5))*$BP$47</f>
        <v>2.2586249999999999</v>
      </c>
      <c r="DC5" s="66">
        <f t="shared" ref="DC5:DC29" si="21">IF(DH5&gt;2*CT5,0,LN(DB5)/12.5)</f>
        <v>0</v>
      </c>
      <c r="DD5" s="91">
        <f t="shared" ref="DD5:DD29" si="22">(CJ5*CR5+CS5*DC5)</f>
        <v>0</v>
      </c>
      <c r="DE5" s="23">
        <f t="shared" ref="DE5:DE29" si="23">IF(BU5&gt;0.25,$BW$39,$BW$38)</f>
        <v>-5.0125418235442863E-3</v>
      </c>
      <c r="DF5" s="28">
        <f t="shared" ref="DF5:DF28" si="24">DD5+DE5</f>
        <v>-5.0125418235442863E-3</v>
      </c>
      <c r="DG5" s="29"/>
      <c r="DH5" s="86">
        <f>IF(OR($AZ$32="n",$AZ$32="p"),0,AZ33)</f>
        <v>100</v>
      </c>
      <c r="DI5" s="178">
        <f t="shared" ref="DI5:DI29" si="25">DH5*$BP$31</f>
        <v>70</v>
      </c>
      <c r="DJ5" s="177">
        <f>DI5</f>
        <v>70</v>
      </c>
      <c r="DK5" s="116">
        <f>DJ5*EXP(DD5*$BP$37)-DJ5</f>
        <v>0</v>
      </c>
      <c r="DL5" s="13">
        <f>DH5+DK5</f>
        <v>100</v>
      </c>
      <c r="DM5" s="199">
        <f>DL5-DN5</f>
        <v>7.3399166893701562</v>
      </c>
      <c r="DN5" s="107">
        <f t="shared" ref="DN5:DN29" si="26">DL5*EXP((IF(BU5&gt;0.25,$BW$39,$BW$38)*$BP$37))</f>
        <v>92.660083310629844</v>
      </c>
      <c r="DO5" s="182">
        <f>'Immigration de varroas'!E12</f>
        <v>0</v>
      </c>
      <c r="DP5" s="109"/>
      <c r="DQ5" s="176"/>
      <c r="DR5" s="198">
        <f t="shared" ref="DR5:DR29" si="27">DN5+DQ5</f>
        <v>92.660083310629844</v>
      </c>
      <c r="DS5" s="278">
        <f>EM$33</f>
        <v>0</v>
      </c>
      <c r="DT5" s="107">
        <f>DR5*DS5</f>
        <v>0</v>
      </c>
      <c r="DU5" s="79">
        <f t="shared" ref="DU5:DU29" si="28">DR5-DT5</f>
        <v>92.660083310629844</v>
      </c>
      <c r="DV5" s="23">
        <f t="shared" ref="DV5:DV29" si="29">LN(DU5/DH5)/$BP$37</f>
        <v>-5.0125418235442759E-3</v>
      </c>
      <c r="DW5" s="158">
        <f t="shared" ref="DW5:DW29" si="30">AZ5</f>
        <v>40544</v>
      </c>
      <c r="DX5" s="74">
        <f t="shared" ref="DX5:DX29" si="31">DH5*CA5</f>
        <v>100</v>
      </c>
      <c r="DY5" s="23">
        <f t="shared" ref="DY5:DY29" si="32">IF(BR5=0,0.001,DX5/BR5)</f>
        <v>6.2500000000000003E-3</v>
      </c>
      <c r="DZ5" s="114">
        <f t="shared" ref="DZ5:DZ28" si="33">DY5*315</f>
        <v>1.96875</v>
      </c>
      <c r="EA5" s="75"/>
      <c r="EB5" s="75"/>
      <c r="EC5" s="75"/>
      <c r="ED5" s="75"/>
      <c r="EE5" s="75"/>
      <c r="EF5" s="75"/>
      <c r="EI5" s="175"/>
      <c r="EJ5" s="196"/>
      <c r="EL5" s="261">
        <f>DH5</f>
        <v>100</v>
      </c>
      <c r="EM5" s="130">
        <v>0</v>
      </c>
      <c r="EN5" s="262">
        <v>0.5</v>
      </c>
      <c r="ER5" s="2">
        <v>40544</v>
      </c>
      <c r="ES5" s="193">
        <v>42917</v>
      </c>
      <c r="ET5" s="14"/>
      <c r="EU5" s="17"/>
      <c r="EW5" s="14"/>
      <c r="EX5" s="14"/>
      <c r="EY5" s="14"/>
      <c r="EZ5" s="14"/>
      <c r="FA5" s="14"/>
      <c r="FB5" s="14"/>
      <c r="FC5" s="14"/>
      <c r="FD5" s="14"/>
      <c r="FE5" s="14"/>
      <c r="FF5" s="14"/>
      <c r="FG5" s="14"/>
      <c r="FH5" s="14"/>
      <c r="FI5" s="14"/>
      <c r="FJ5" s="14"/>
      <c r="FK5" s="14"/>
      <c r="FL5" s="14"/>
    </row>
    <row r="6" spans="1:171" ht="16" customHeight="1">
      <c r="B6" s="284"/>
      <c r="AE6" s="274"/>
      <c r="AF6" s="282"/>
      <c r="AZ6" s="288">
        <f t="shared" ref="AZ6:AZ29" si="34">IF($AB$21="x", ES6,ER6)</f>
        <v>40558</v>
      </c>
      <c r="BA6" s="48">
        <f t="shared" si="0"/>
        <v>92.660083310629844</v>
      </c>
      <c r="BB6" s="222">
        <f t="shared" ref="BB6:BB28" si="35">IF(ED6&gt;0,"",DV6)</f>
        <v>5.2233269783675549E-3</v>
      </c>
      <c r="BC6" s="173">
        <f t="shared" si="1"/>
        <v>0</v>
      </c>
      <c r="BD6" s="99">
        <f t="shared" ref="BD6:BD28" si="36">IF(ED6&gt;0,"",DZ6)</f>
        <v>1.1011521708318264</v>
      </c>
      <c r="BE6" s="4">
        <f t="shared" si="2"/>
        <v>5.295877873559407E-2</v>
      </c>
      <c r="BF6" s="3">
        <f t="shared" si="3"/>
        <v>0.60362064049089725</v>
      </c>
      <c r="BG6" s="379">
        <v>0.95</v>
      </c>
      <c r="BH6" s="394" t="s">
        <v>99</v>
      </c>
      <c r="BI6" s="395"/>
      <c r="BJ6" s="395"/>
      <c r="BK6" s="395"/>
      <c r="BL6" s="396"/>
      <c r="BN6" s="392"/>
      <c r="BO6" s="158">
        <f t="shared" ref="BO6:BO29" si="37">AZ6</f>
        <v>40558</v>
      </c>
      <c r="BP6" s="373">
        <f>IF($AZ$32="d",'Profils de colonie'!I32,IF($AZ$32="n",'Profils de colonie'!I60,IF($AZ$32="p",'Profils de colonie'!I88,IF($AZ$32="a",'Profils de colonie'!I116,IF($AZ$32="b",'Profils de colonie'!I144,IF($AZ$32="c",'Profils de colonie'!I172,IF($AZ$32="r",'Profils de colonie'!I200,IF($AZ$32="s",'Profils de colonie'!I228,IF($AZ$32="f",'Profils de colonie'!I256,"erreur")))))))))</f>
        <v>8</v>
      </c>
      <c r="BQ6" s="141">
        <v>2000</v>
      </c>
      <c r="BR6">
        <f t="shared" ref="BR6:BR29" si="38">BP6*BQ6</f>
        <v>16000</v>
      </c>
      <c r="BS6" s="68">
        <f>IF($AZ$32="d",'Profils de colonie'!G32,IF($AZ$32="n",'Profils de colonie'!G60,IF($AZ$32="p",'Profils de colonie'!G88,IF($AZ$32="a",'Profils de colonie'!G116,IF($AZ$32="b",'Profils de colonie'!G144,IF($AZ$32="c",'Profils de colonie'!G172,IF($AZ$32="r",'Profils de colonie'!G200,IF($AZ$32="s",'Profils de colonie'!G228,IF($AZ$32="f",'Profils de colonie'!G256,"erreur")))))))))</f>
        <v>0.25</v>
      </c>
      <c r="BT6" s="13">
        <f t="shared" si="4"/>
        <v>1125</v>
      </c>
      <c r="BU6" s="17">
        <f t="shared" si="5"/>
        <v>7.03125E-2</v>
      </c>
      <c r="BV6">
        <f t="shared" ref="BV6:BV28" si="39">BT6*12/20</f>
        <v>675</v>
      </c>
      <c r="BW6" s="14">
        <f t="shared" ref="BW6:BW28" si="40">CW6*BV6</f>
        <v>35.747175646525996</v>
      </c>
      <c r="BX6" s="14">
        <f t="shared" si="6"/>
        <v>56.25</v>
      </c>
      <c r="BY6" s="89">
        <f t="shared" ref="BY6:BY28" si="41">IF(BU6=0,0.001,(-$BP$43*LN(BU6))+$BP$42)</f>
        <v>18.274028432916989</v>
      </c>
      <c r="BZ6" s="21">
        <f t="shared" si="7"/>
        <v>30.274028432916989</v>
      </c>
      <c r="CA6" s="26">
        <f t="shared" si="8"/>
        <v>0.60362064049089725</v>
      </c>
      <c r="CB6" s="345">
        <f t="shared" si="9"/>
        <v>0.39637935950910275</v>
      </c>
      <c r="CC6" s="343">
        <f t="shared" ref="CC6:CC29" si="42">BV6/BR6</f>
        <v>4.2187500000000003E-2</v>
      </c>
      <c r="CD6" s="343"/>
      <c r="CE6" s="22">
        <f t="shared" si="10"/>
        <v>36.728544474727556</v>
      </c>
      <c r="CF6" s="5">
        <f t="shared" si="11"/>
        <v>675</v>
      </c>
      <c r="CG6" s="67">
        <f>IF($AZ$32="d",'Profils de colonie'!K32,IF($AZ$32="n",'Profils de colonie'!K60,IF($AZ$32="p",'Profils de colonie'!K88,IF($AZ$32="a",'Profils de colonie'!K116,IF($AZ$32="b",'Profils de colonie'!K144,IF($AZ$32="c",'Profils de colonie'!K172,IF($AZ$32="r",'Profils de colonie'!K200,IF($AZ$32="s",'Profils de colonie'!K200,IF($AZ$32="f",'Profils de colonie'!K256,"erreur")))))))))</f>
        <v>0</v>
      </c>
      <c r="CH6" s="87">
        <f t="shared" ref="CH6:CH29" si="43">CG6*16/25</f>
        <v>0</v>
      </c>
      <c r="CI6" s="63">
        <f t="shared" ref="CI6:CI29" si="44">CH6*$BP$43</f>
        <v>0</v>
      </c>
      <c r="CJ6" s="84">
        <f t="shared" ref="CJ6:CJ28" si="45">CI6*CB6</f>
        <v>0</v>
      </c>
      <c r="CK6" s="60">
        <f t="shared" si="12"/>
        <v>0</v>
      </c>
      <c r="CL6" s="61">
        <f t="shared" ref="CL6:CL28" si="46">IF(CH6=0,0,CK6/(CF6*CH6))</f>
        <v>0</v>
      </c>
      <c r="CM6" s="266">
        <f t="shared" si="13"/>
        <v>0</v>
      </c>
      <c r="CN6" s="267">
        <f t="shared" ref="CN6:CN28" si="47">IF(CM6=0,0,CL6/CM6)</f>
        <v>0</v>
      </c>
      <c r="CO6" s="61">
        <f t="shared" si="14"/>
        <v>33.274028432916992</v>
      </c>
      <c r="CP6" s="265">
        <v>1</v>
      </c>
      <c r="CQ6" s="71">
        <f t="shared" si="15"/>
        <v>4.2749999999999995</v>
      </c>
      <c r="CR6" s="65">
        <f t="shared" ref="CR6:CR28" si="48">LN(CQ6)/14.75</f>
        <v>9.8493837450082944E-2</v>
      </c>
      <c r="CS6" s="85">
        <f t="shared" ref="CS6:CS28" si="49">1-CA6-CJ6</f>
        <v>0.39637935950910275</v>
      </c>
      <c r="CT6" s="59">
        <f t="shared" ref="CT6:CT28" si="50">(1-CH6)*CF6</f>
        <v>675</v>
      </c>
      <c r="CU6" s="59">
        <f>CE6-CK6</f>
        <v>36.728544474727556</v>
      </c>
      <c r="CV6" s="62">
        <f t="shared" si="17"/>
        <v>5.4412658481077861E-2</v>
      </c>
      <c r="CW6" s="263">
        <f t="shared" si="18"/>
        <v>5.295877873559407E-2</v>
      </c>
      <c r="CX6" s="265">
        <f t="shared" ref="CX6:CX29" si="51">CV6/(CW6+0.000001)</f>
        <v>1.0274336445538681</v>
      </c>
      <c r="CY6" s="64">
        <f t="shared" si="19"/>
        <v>1</v>
      </c>
      <c r="CZ6" s="62">
        <f t="shared" si="20"/>
        <v>30.274028432916989</v>
      </c>
      <c r="DA6" s="264">
        <v>1</v>
      </c>
      <c r="DB6" s="70">
        <f t="shared" ref="DB6:DB29" si="52">(1+($BP$30*DA6))*$BP$47</f>
        <v>2.2586249999999999</v>
      </c>
      <c r="DC6" s="66">
        <f t="shared" si="21"/>
        <v>6.518049768398862E-2</v>
      </c>
      <c r="DD6" s="91">
        <f t="shared" si="22"/>
        <v>2.5836203924463966E-2</v>
      </c>
      <c r="DE6" s="23">
        <f t="shared" si="23"/>
        <v>-5.0125418235442863E-3</v>
      </c>
      <c r="DF6" s="28">
        <f t="shared" si="24"/>
        <v>2.0823662100919679E-2</v>
      </c>
      <c r="DG6" s="28"/>
      <c r="DH6" s="270">
        <f>IF(OR($AZ$32="n",$AZ$32="p"),0,DU5)</f>
        <v>92.660083310629844</v>
      </c>
      <c r="DI6" s="178">
        <f t="shared" si="25"/>
        <v>64.862058317440884</v>
      </c>
      <c r="DJ6" s="178">
        <f>DI6*(1-EN5)</f>
        <v>32.431029158720442</v>
      </c>
      <c r="DK6" s="116">
        <f t="shared" ref="DK6:DK15" si="53">DJ6*EXP(DD6*$BP$37)-DJ6</f>
        <v>15.609319551891964</v>
      </c>
      <c r="DL6" s="13">
        <f t="shared" ref="DL6:DL28" si="54">DH6+DK6</f>
        <v>108.26940286252182</v>
      </c>
      <c r="DM6" s="199">
        <f t="shared" ref="DM6:DM28" si="55">DL6-DN6</f>
        <v>7.9468839701876561</v>
      </c>
      <c r="DN6" s="107">
        <f t="shared" si="26"/>
        <v>100.32251889233416</v>
      </c>
      <c r="DO6" s="182">
        <f>'Immigration de varroas'!E13</f>
        <v>0</v>
      </c>
      <c r="DP6" s="109">
        <f t="shared" ref="DP6:DP28" si="56">IF(EJ6&gt;DX6*EI6,-DX6*EI6,-EJ6)</f>
        <v>-1.4354305084057733E-3</v>
      </c>
      <c r="DQ6" s="82">
        <f>DO6+DP6</f>
        <v>-1.4354305084057733E-3</v>
      </c>
      <c r="DR6" s="198">
        <f t="shared" si="27"/>
        <v>100.32108346182575</v>
      </c>
      <c r="DS6" s="278">
        <f>EN$33</f>
        <v>0</v>
      </c>
      <c r="DT6" s="107">
        <f t="shared" ref="DT6:DT28" si="57">DR6*DS6</f>
        <v>0</v>
      </c>
      <c r="DU6" s="79">
        <f t="shared" si="28"/>
        <v>100.32108346182575</v>
      </c>
      <c r="DV6" s="23">
        <f t="shared" si="29"/>
        <v>5.2233269783675549E-3</v>
      </c>
      <c r="DW6" s="158">
        <f t="shared" si="30"/>
        <v>40558</v>
      </c>
      <c r="DX6" s="74">
        <f t="shared" si="31"/>
        <v>55.931538835902288</v>
      </c>
      <c r="DY6" s="23">
        <f t="shared" si="32"/>
        <v>3.495721177243893E-3</v>
      </c>
      <c r="DZ6" s="114">
        <f t="shared" si="33"/>
        <v>1.1011521708318264</v>
      </c>
      <c r="EA6" s="75"/>
      <c r="EB6" s="75"/>
      <c r="EC6" s="75"/>
      <c r="ED6" s="75"/>
      <c r="EE6" s="13">
        <f t="shared" ref="EE6:EE29" si="58">BT5*0.9/20*$BP$37</f>
        <v>0.68437499999999996</v>
      </c>
      <c r="EF6" s="14">
        <f t="shared" ref="EF6:EF29" si="59">BR6-BR5</f>
        <v>0</v>
      </c>
      <c r="EG6" s="13">
        <f t="shared" ref="EG6:EG28" si="60">EE6-EF6</f>
        <v>0.68437499999999996</v>
      </c>
      <c r="EH6" s="13">
        <f>EG6/$BP$37</f>
        <v>4.4999999999999998E-2</v>
      </c>
      <c r="EI6" s="17">
        <f t="shared" ref="EI6:EI28" si="61">IF(DY6&gt;0.15,1,$BP$36)</f>
        <v>0.6</v>
      </c>
      <c r="EJ6" s="197">
        <f t="shared" ref="EJ6:EJ28" si="62">EG6*EI6*DY6</f>
        <v>1.4354305084057733E-3</v>
      </c>
      <c r="EL6" s="13">
        <f t="shared" ref="EL6:EL29" si="63">DK6</f>
        <v>15.609319551891964</v>
      </c>
      <c r="EM6" s="130">
        <v>0</v>
      </c>
      <c r="EN6" s="31">
        <f>EM$60</f>
        <v>0</v>
      </c>
      <c r="ER6" s="2">
        <v>40558</v>
      </c>
      <c r="ES6" s="193">
        <v>42931</v>
      </c>
      <c r="ET6" s="14"/>
      <c r="EU6" s="17"/>
      <c r="EV6">
        <v>5.67</v>
      </c>
      <c r="EW6" s="14"/>
      <c r="EX6" s="14"/>
      <c r="EY6" s="14"/>
      <c r="EZ6" s="14"/>
      <c r="FA6" s="14"/>
      <c r="FB6" s="14"/>
      <c r="FC6" s="14"/>
      <c r="FD6" s="14"/>
      <c r="FE6" s="14"/>
      <c r="FF6" s="14"/>
      <c r="FG6" s="14"/>
      <c r="FH6" s="14"/>
      <c r="FI6" s="14"/>
      <c r="FJ6" s="14"/>
      <c r="FK6" s="14"/>
      <c r="FL6" s="14"/>
      <c r="FM6" s="14"/>
      <c r="FN6" s="14"/>
      <c r="FO6" s="14"/>
    </row>
    <row r="7" spans="1:171" ht="16.19" customHeight="1">
      <c r="B7" s="284"/>
      <c r="AE7" s="274"/>
      <c r="AF7" s="282"/>
      <c r="AZ7" s="288">
        <f t="shared" si="34"/>
        <v>40575</v>
      </c>
      <c r="BA7" s="48">
        <f t="shared" si="0"/>
        <v>100.32108346182575</v>
      </c>
      <c r="BB7" s="222">
        <f t="shared" si="35"/>
        <v>1.4156209170941484E-2</v>
      </c>
      <c r="BC7" s="173">
        <f t="shared" si="1"/>
        <v>0</v>
      </c>
      <c r="BD7" s="99">
        <f t="shared" si="36"/>
        <v>1.1545713362615053</v>
      </c>
      <c r="BE7" s="4">
        <f t="shared" si="2"/>
        <v>4.569754999750375E-2</v>
      </c>
      <c r="BF7" s="3">
        <f t="shared" si="3"/>
        <v>0.58457196879000284</v>
      </c>
      <c r="BG7" s="380"/>
      <c r="BH7" s="397"/>
      <c r="BI7" s="398"/>
      <c r="BJ7" s="398"/>
      <c r="BK7" s="398"/>
      <c r="BL7" s="399"/>
      <c r="BN7" s="392"/>
      <c r="BO7" s="158">
        <f t="shared" si="37"/>
        <v>40575</v>
      </c>
      <c r="BP7" s="373">
        <f>IF($AZ$32="d",'Profils de colonie'!I33,IF($AZ$32="n",'Profils de colonie'!I61,IF($AZ$32="p",'Profils de colonie'!I89,IF($AZ$32="a",'Profils de colonie'!I117,IF($AZ$32="b",'Profils de colonie'!I145,IF($AZ$32="c",'Profils de colonie'!I173,IF($AZ$32="r",'Profils de colonie'!I201,IF($AZ$32="s",'Profils de colonie'!I229,IF($AZ$32="f",'Profils de colonie'!I257,"erreur")))))))))</f>
        <v>8</v>
      </c>
      <c r="BQ7" s="141">
        <v>2000</v>
      </c>
      <c r="BR7">
        <f t="shared" si="38"/>
        <v>16000</v>
      </c>
      <c r="BS7" s="68">
        <f>IF($AZ$32="d",'Profils de colonie'!G33,IF($AZ$32="n",'Profils de colonie'!G61,IF($AZ$32="p",'Profils de colonie'!G89,IF($AZ$32="a",'Profils de colonie'!G117,IF($AZ$32="b",'Profils de colonie'!G145,IF($AZ$32="c",'Profils de colonie'!G173,IF($AZ$32="r",'Profils de colonie'!G201,IF($AZ$32="s",'Profils de colonie'!G229,IF($AZ$32="f",'Profils de colonie'!G257,"erreur")))))))))</f>
        <v>0.33</v>
      </c>
      <c r="BT7" s="13">
        <f t="shared" si="4"/>
        <v>1485</v>
      </c>
      <c r="BU7" s="17">
        <f t="shared" si="5"/>
        <v>9.2812500000000006E-2</v>
      </c>
      <c r="BV7">
        <f t="shared" si="39"/>
        <v>891</v>
      </c>
      <c r="BW7" s="14">
        <f t="shared" si="40"/>
        <v>40.716517047775838</v>
      </c>
      <c r="BX7" s="14">
        <f t="shared" si="6"/>
        <v>74.25</v>
      </c>
      <c r="BY7" s="89">
        <f t="shared" si="41"/>
        <v>16.88586974992559</v>
      </c>
      <c r="BZ7" s="21">
        <f t="shared" si="7"/>
        <v>28.88586974992559</v>
      </c>
      <c r="CA7" s="26">
        <f t="shared" si="8"/>
        <v>0.58457196879000284</v>
      </c>
      <c r="CB7" s="345">
        <f t="shared" si="9"/>
        <v>0.41542803120999716</v>
      </c>
      <c r="CC7" s="343">
        <f t="shared" si="42"/>
        <v>5.5687500000000001E-2</v>
      </c>
      <c r="CD7" s="343"/>
      <c r="CE7" s="22">
        <f t="shared" si="10"/>
        <v>41.676190191400082</v>
      </c>
      <c r="CF7" s="5">
        <f t="shared" si="11"/>
        <v>891</v>
      </c>
      <c r="CG7" s="67">
        <f>IF($AZ$32="d",'Profils de colonie'!K33,IF($AZ$32="n",'Profils de colonie'!K61,IF($AZ$32="p",'Profils de colonie'!K89,IF($AZ$32="a",'Profils de colonie'!K117,IF($AZ$32="b",'Profils de colonie'!K145,IF($AZ$32="c",'Profils de colonie'!K173,IF($AZ$32="r",'Profils de colonie'!K201,IF($AZ$32="s",'Profils de colonie'!K201,IF($AZ$32="f",'Profils de colonie'!K257,"erreur")))))))))</f>
        <v>0</v>
      </c>
      <c r="CH7" s="87">
        <f t="shared" si="43"/>
        <v>0</v>
      </c>
      <c r="CI7" s="63">
        <f t="shared" si="44"/>
        <v>0</v>
      </c>
      <c r="CJ7" s="84">
        <f t="shared" si="45"/>
        <v>0</v>
      </c>
      <c r="CK7" s="60">
        <f t="shared" si="12"/>
        <v>0</v>
      </c>
      <c r="CL7" s="61">
        <f t="shared" si="46"/>
        <v>0</v>
      </c>
      <c r="CM7" s="266">
        <f t="shared" si="13"/>
        <v>0</v>
      </c>
      <c r="CN7" s="267">
        <f t="shared" si="47"/>
        <v>0</v>
      </c>
      <c r="CO7" s="61">
        <f t="shared" si="14"/>
        <v>31.88586974992559</v>
      </c>
      <c r="CP7" s="265">
        <v>1</v>
      </c>
      <c r="CQ7" s="71">
        <f t="shared" si="15"/>
        <v>4.2749999999999995</v>
      </c>
      <c r="CR7" s="65">
        <f t="shared" si="48"/>
        <v>9.8493837450082944E-2</v>
      </c>
      <c r="CS7" s="85">
        <f t="shared" si="49"/>
        <v>0.41542803120999716</v>
      </c>
      <c r="CT7" s="59">
        <f t="shared" si="50"/>
        <v>891</v>
      </c>
      <c r="CU7" s="59">
        <f t="shared" si="16"/>
        <v>41.676190191400082</v>
      </c>
      <c r="CV7" s="62">
        <f t="shared" si="17"/>
        <v>4.6774624232772261E-2</v>
      </c>
      <c r="CW7" s="263">
        <f t="shared" si="18"/>
        <v>4.569754999750375E-2</v>
      </c>
      <c r="CX7" s="265">
        <f t="shared" si="51"/>
        <v>1.0235472292956185</v>
      </c>
      <c r="CY7" s="64">
        <f t="shared" si="19"/>
        <v>1</v>
      </c>
      <c r="CZ7" s="62">
        <f t="shared" si="20"/>
        <v>28.88586974992559</v>
      </c>
      <c r="DA7" s="264">
        <v>1</v>
      </c>
      <c r="DB7" s="70">
        <f t="shared" si="52"/>
        <v>2.2586249999999999</v>
      </c>
      <c r="DC7" s="66">
        <f t="shared" si="21"/>
        <v>6.518049768398862E-2</v>
      </c>
      <c r="DD7" s="91">
        <f t="shared" si="22"/>
        <v>2.7077805826147171E-2</v>
      </c>
      <c r="DE7" s="23">
        <f t="shared" si="23"/>
        <v>-5.0125418235442863E-3</v>
      </c>
      <c r="DF7" s="28">
        <f t="shared" si="24"/>
        <v>2.2065264002602884E-2</v>
      </c>
      <c r="DG7" s="28"/>
      <c r="DH7" s="270">
        <f>IF(OR($AZ$32="n",$AZ$32="p"),0,DU6)</f>
        <v>100.32108346182575</v>
      </c>
      <c r="DI7" s="178">
        <f t="shared" si="25"/>
        <v>70.224758423278018</v>
      </c>
      <c r="DJ7" s="178">
        <f>DI7*(1-EN6)</f>
        <v>70.224758423278018</v>
      </c>
      <c r="DK7" s="116">
        <f t="shared" si="53"/>
        <v>35.782676229362181</v>
      </c>
      <c r="DL7" s="13">
        <f t="shared" si="54"/>
        <v>136.10375969118792</v>
      </c>
      <c r="DM7" s="199">
        <f t="shared" si="55"/>
        <v>9.9899025724337633</v>
      </c>
      <c r="DN7" s="107">
        <f t="shared" si="26"/>
        <v>126.11385711875415</v>
      </c>
      <c r="DO7" s="182">
        <f>'Immigration de varroas'!E14</f>
        <v>0</v>
      </c>
      <c r="DP7" s="109">
        <f t="shared" si="56"/>
        <v>-1.693199481972788</v>
      </c>
      <c r="DQ7" s="82">
        <f t="shared" ref="DQ7:DQ29" si="64">DO7+DP7</f>
        <v>-1.693199481972788</v>
      </c>
      <c r="DR7" s="198">
        <f t="shared" si="27"/>
        <v>124.42065763678137</v>
      </c>
      <c r="DS7" s="278">
        <f>EO$33</f>
        <v>0</v>
      </c>
      <c r="DT7" s="107">
        <f t="shared" si="57"/>
        <v>0</v>
      </c>
      <c r="DU7" s="79">
        <f t="shared" si="28"/>
        <v>124.42065763678137</v>
      </c>
      <c r="DV7" s="23">
        <f t="shared" si="29"/>
        <v>1.4156209170941484E-2</v>
      </c>
      <c r="DW7" s="158">
        <f t="shared" si="30"/>
        <v>40575</v>
      </c>
      <c r="DX7" s="74">
        <f t="shared" si="31"/>
        <v>58.644893270425669</v>
      </c>
      <c r="DY7" s="23">
        <f t="shared" si="32"/>
        <v>3.6653058294016045E-3</v>
      </c>
      <c r="DZ7" s="114">
        <f t="shared" si="33"/>
        <v>1.1545713362615053</v>
      </c>
      <c r="EA7" s="179" t="str">
        <f>IF((BS7&lt;0.25),EA6,IF(EA6=100,100,IF(CW5&gt;$AH$52,100,"")))</f>
        <v/>
      </c>
      <c r="EB7" s="179" t="str">
        <f>IF(EB6=100,100,IF(BT7&lt;100,IF((DZ5+DZ6)&gt;$AH$53,100,""),""))</f>
        <v/>
      </c>
      <c r="EC7" s="179"/>
      <c r="ED7">
        <f>SUM(EA7:EC7)</f>
        <v>0</v>
      </c>
      <c r="EE7" s="13">
        <f t="shared" si="58"/>
        <v>769.921875</v>
      </c>
      <c r="EF7" s="14">
        <f t="shared" si="59"/>
        <v>0</v>
      </c>
      <c r="EG7" s="13">
        <f t="shared" si="60"/>
        <v>769.921875</v>
      </c>
      <c r="EH7" s="13">
        <f t="shared" ref="EH7:EH29" si="65">EG7/$BP$37</f>
        <v>50.625</v>
      </c>
      <c r="EI7" s="17">
        <f t="shared" si="61"/>
        <v>0.6</v>
      </c>
      <c r="EJ7" s="197">
        <f t="shared" si="62"/>
        <v>1.693199481972788</v>
      </c>
      <c r="EL7" s="13">
        <f t="shared" si="63"/>
        <v>35.782676229362181</v>
      </c>
      <c r="EM7" s="130">
        <v>0</v>
      </c>
      <c r="EN7" s="31">
        <f>EN$60</f>
        <v>0</v>
      </c>
      <c r="ER7" s="2">
        <v>40575</v>
      </c>
      <c r="ES7" s="193">
        <v>42948</v>
      </c>
      <c r="ET7" s="14"/>
      <c r="EU7" s="17"/>
      <c r="EW7" s="14"/>
      <c r="EX7" s="14"/>
      <c r="EY7" s="14"/>
      <c r="EZ7" s="14"/>
      <c r="FA7" s="14"/>
      <c r="FB7" s="14"/>
      <c r="FC7" s="14"/>
      <c r="FD7" s="14"/>
      <c r="FE7" s="14"/>
      <c r="FF7" s="14"/>
      <c r="FG7" s="14"/>
      <c r="FH7" s="14"/>
      <c r="FI7" s="14"/>
      <c r="FJ7" s="14"/>
      <c r="FK7" s="14"/>
      <c r="FL7" s="14"/>
      <c r="FM7" s="14"/>
      <c r="FN7" s="14"/>
      <c r="FO7" s="14"/>
    </row>
    <row r="8" spans="1:171" ht="16" customHeight="1">
      <c r="B8" s="284"/>
      <c r="AE8" s="274"/>
      <c r="AF8" s="282"/>
      <c r="AZ8" s="288">
        <f t="shared" si="34"/>
        <v>40589</v>
      </c>
      <c r="BA8" s="48">
        <f t="shared" si="0"/>
        <v>124.42065763678137</v>
      </c>
      <c r="BB8" s="222">
        <f t="shared" si="35"/>
        <v>1.5990546388849801E-2</v>
      </c>
      <c r="BC8" s="173">
        <f t="shared" si="1"/>
        <v>0</v>
      </c>
      <c r="BD8" s="99">
        <f>IF(ED8&gt;0,"",DZ8)</f>
        <v>1.4063098328231911</v>
      </c>
      <c r="BE8" s="4">
        <f t="shared" si="2"/>
        <v>3.0114047688159062E-2</v>
      </c>
      <c r="BF8" s="3">
        <f t="shared" si="3"/>
        <v>0.50234953281672068</v>
      </c>
      <c r="BG8" s="379">
        <v>0.9</v>
      </c>
      <c r="BH8" s="378" t="s">
        <v>100</v>
      </c>
      <c r="BI8" s="378"/>
      <c r="BJ8" s="378"/>
      <c r="BK8" s="378"/>
      <c r="BL8" s="378"/>
      <c r="BN8" s="392"/>
      <c r="BO8" s="158">
        <f t="shared" si="37"/>
        <v>40589</v>
      </c>
      <c r="BP8" s="373">
        <f>IF($AZ$32="d",'Profils de colonie'!I34,IF($AZ$32="n",'Profils de colonie'!I62,IF($AZ$32="p",'Profils de colonie'!I90,IF($AZ$32="a",'Profils de colonie'!I118,IF($AZ$32="b",'Profils de colonie'!I146,IF($AZ$32="c",'Profils de colonie'!I174,IF($AZ$32="r",'Profils de colonie'!I202,IF($AZ$32="s",'Profils de colonie'!I230,IF($AZ$32="f",'Profils de colonie'!I258,"erreur")))))))))</f>
        <v>7</v>
      </c>
      <c r="BQ8" s="141">
        <v>2000</v>
      </c>
      <c r="BR8">
        <f t="shared" si="38"/>
        <v>14000</v>
      </c>
      <c r="BS8" s="68">
        <f>IF($AZ$32="d",'Profils de colonie'!G34,IF($AZ$32="n",'Profils de colonie'!G62,IF($AZ$32="p",'Profils de colonie'!G90,IF($AZ$32="a",'Profils de colonie'!G118,IF($AZ$32="b",'Profils de colonie'!G146,IF($AZ$32="c",'Profils de colonie'!G174,IF($AZ$32="r",'Profils de colonie'!G202,IF($AZ$32="s",'Profils de colonie'!G230,IF($AZ$32="f",'Profils de colonie'!G258,"erreur")))))))))</f>
        <v>0.75</v>
      </c>
      <c r="BT8" s="13">
        <f t="shared" si="4"/>
        <v>3375</v>
      </c>
      <c r="BU8" s="17">
        <f t="shared" si="5"/>
        <v>0.24107142857142858</v>
      </c>
      <c r="BV8">
        <f t="shared" si="39"/>
        <v>2025</v>
      </c>
      <c r="BW8" s="14">
        <f t="shared" si="40"/>
        <v>60.9809465685221</v>
      </c>
      <c r="BX8" s="14">
        <f t="shared" si="6"/>
        <v>168.75</v>
      </c>
      <c r="BY8" s="89">
        <f t="shared" si="41"/>
        <v>12.113310026453828</v>
      </c>
      <c r="BZ8" s="21">
        <f t="shared" si="7"/>
        <v>24.113310026453828</v>
      </c>
      <c r="CA8" s="26">
        <f t="shared" si="8"/>
        <v>0.50234953281672068</v>
      </c>
      <c r="CB8" s="345">
        <f t="shared" si="9"/>
        <v>0.49765046718327932</v>
      </c>
      <c r="CC8" s="343">
        <f t="shared" si="42"/>
        <v>0.14464285714285716</v>
      </c>
      <c r="CD8" s="343"/>
      <c r="CE8" s="22">
        <f t="shared" si="10"/>
        <v>61.917998400195103</v>
      </c>
      <c r="CF8" s="5">
        <f t="shared" si="11"/>
        <v>2025</v>
      </c>
      <c r="CG8" s="67">
        <f>IF($AZ$32="d",'Profils de colonie'!K34,IF($AZ$32="n",'Profils de colonie'!K62,IF($AZ$32="p",'Profils de colonie'!K90,IF($AZ$32="a",'Profils de colonie'!K118,IF($AZ$32="b",'Profils de colonie'!K146,IF($AZ$32="c",'Profils de colonie'!K174,IF($AZ$32="r",'Profils de colonie'!K202,IF($AZ$32="s",'Profils de colonie'!K202,IF($AZ$32="f",'Profils de colonie'!K258,"erreur")))))))))</f>
        <v>0</v>
      </c>
      <c r="CH8" s="87">
        <f t="shared" si="43"/>
        <v>0</v>
      </c>
      <c r="CI8" s="63">
        <f t="shared" si="44"/>
        <v>0</v>
      </c>
      <c r="CJ8" s="84">
        <f t="shared" si="45"/>
        <v>0</v>
      </c>
      <c r="CK8" s="60">
        <f t="shared" si="12"/>
        <v>0</v>
      </c>
      <c r="CL8" s="61">
        <f t="shared" si="46"/>
        <v>0</v>
      </c>
      <c r="CM8" s="266">
        <f t="shared" si="13"/>
        <v>0</v>
      </c>
      <c r="CN8" s="267">
        <f t="shared" si="47"/>
        <v>0</v>
      </c>
      <c r="CO8" s="61">
        <f t="shared" si="14"/>
        <v>27.113310026453828</v>
      </c>
      <c r="CP8" s="265">
        <v>1</v>
      </c>
      <c r="CQ8" s="71">
        <f t="shared" si="15"/>
        <v>4.2749999999999995</v>
      </c>
      <c r="CR8" s="65">
        <f t="shared" si="48"/>
        <v>9.8493837450082944E-2</v>
      </c>
      <c r="CS8" s="85">
        <f t="shared" si="49"/>
        <v>0.49765046718327932</v>
      </c>
      <c r="CT8" s="59">
        <f t="shared" si="50"/>
        <v>2025</v>
      </c>
      <c r="CU8" s="59">
        <f t="shared" si="16"/>
        <v>61.917998400195103</v>
      </c>
      <c r="CV8" s="62">
        <f t="shared" si="17"/>
        <v>3.057678933342968E-2</v>
      </c>
      <c r="CW8" s="263">
        <f t="shared" si="18"/>
        <v>3.0114047688159062E-2</v>
      </c>
      <c r="CX8" s="265">
        <f t="shared" si="51"/>
        <v>1.0153325888788869</v>
      </c>
      <c r="CY8" s="64">
        <f t="shared" si="19"/>
        <v>1</v>
      </c>
      <c r="CZ8" s="62">
        <f t="shared" si="20"/>
        <v>24.113310026453828</v>
      </c>
      <c r="DA8" s="264">
        <v>1</v>
      </c>
      <c r="DB8" s="70">
        <f t="shared" si="52"/>
        <v>2.2586249999999999</v>
      </c>
      <c r="DC8" s="66">
        <f t="shared" si="21"/>
        <v>6.518049768398862E-2</v>
      </c>
      <c r="DD8" s="91">
        <f t="shared" si="22"/>
        <v>3.2437105123675591E-2</v>
      </c>
      <c r="DE8" s="23">
        <f t="shared" si="23"/>
        <v>-5.0125418235442863E-3</v>
      </c>
      <c r="DF8" s="28">
        <f t="shared" si="24"/>
        <v>2.7424563300131304E-2</v>
      </c>
      <c r="DG8" s="28"/>
      <c r="DH8" s="270">
        <f>IF(OR($AZ$32="n",$AZ$32="p"),0,DU7)</f>
        <v>124.42065763678137</v>
      </c>
      <c r="DI8" s="178">
        <f t="shared" si="25"/>
        <v>87.094460345746953</v>
      </c>
      <c r="DJ8" s="178">
        <f>DI8*(1-EN7)</f>
        <v>87.094460345746953</v>
      </c>
      <c r="DK8" s="116">
        <f t="shared" si="53"/>
        <v>55.543202415448647</v>
      </c>
      <c r="DL8" s="13">
        <f t="shared" si="54"/>
        <v>179.96386005223002</v>
      </c>
      <c r="DM8" s="199">
        <f t="shared" si="55"/>
        <v>13.209197398808385</v>
      </c>
      <c r="DN8" s="107">
        <f t="shared" si="26"/>
        <v>166.75466265342163</v>
      </c>
      <c r="DO8" s="182">
        <f>'Immigration de varroas'!E15</f>
        <v>0</v>
      </c>
      <c r="DP8" s="109">
        <f t="shared" si="56"/>
        <v>-8.0797103886216455</v>
      </c>
      <c r="DQ8" s="82">
        <f t="shared" si="64"/>
        <v>-8.0797103886216455</v>
      </c>
      <c r="DR8" s="198">
        <f t="shared" si="27"/>
        <v>158.6749522648</v>
      </c>
      <c r="DS8" s="278">
        <f>EP$33</f>
        <v>0</v>
      </c>
      <c r="DT8" s="107">
        <f t="shared" si="57"/>
        <v>0</v>
      </c>
      <c r="DU8" s="79">
        <f t="shared" si="28"/>
        <v>158.6749522648</v>
      </c>
      <c r="DV8" s="23">
        <f t="shared" si="29"/>
        <v>1.5990546388849801E-2</v>
      </c>
      <c r="DW8" s="158">
        <f t="shared" si="30"/>
        <v>40589</v>
      </c>
      <c r="DX8" s="74">
        <f t="shared" si="31"/>
        <v>62.502659236586268</v>
      </c>
      <c r="DY8" s="23">
        <f t="shared" si="32"/>
        <v>4.4644756597561619E-3</v>
      </c>
      <c r="DZ8" s="114">
        <f t="shared" si="33"/>
        <v>1.4063098328231911</v>
      </c>
      <c r="EA8" s="179" t="str">
        <f t="shared" ref="EA8:EA29" si="66">IF((BS8&lt;0.25),EA7,IF(EA7=100,100,IF(CW6&gt;$AH$52,100,"")))</f>
        <v/>
      </c>
      <c r="EB8" s="179" t="str">
        <f t="shared" ref="EB8:EB29" si="67">IF(EB7=100,100,IF(BT8&lt;100,IF((DZ6+DZ7)&gt;$AH$53,100,""),""))</f>
        <v/>
      </c>
      <c r="EC8" s="179"/>
      <c r="ED8">
        <f t="shared" ref="ED8:ED29" si="68">SUM(EA8:EC8)</f>
        <v>0</v>
      </c>
      <c r="EE8" s="13">
        <f t="shared" si="58"/>
        <v>1016.2968750000001</v>
      </c>
      <c r="EF8" s="14">
        <f t="shared" si="59"/>
        <v>-2000</v>
      </c>
      <c r="EG8" s="13">
        <f t="shared" si="60"/>
        <v>3016.296875</v>
      </c>
      <c r="EH8" s="13">
        <f t="shared" si="65"/>
        <v>198.3318493150685</v>
      </c>
      <c r="EI8" s="17">
        <f t="shared" si="61"/>
        <v>0.6</v>
      </c>
      <c r="EJ8" s="197">
        <f t="shared" si="62"/>
        <v>8.0797103886216455</v>
      </c>
      <c r="EL8" s="13">
        <f t="shared" si="63"/>
        <v>55.543202415448647</v>
      </c>
      <c r="EM8" s="130">
        <v>0</v>
      </c>
      <c r="EN8" s="31">
        <f>EO$60</f>
        <v>0</v>
      </c>
      <c r="ER8" s="2">
        <v>40589</v>
      </c>
      <c r="ES8" s="193">
        <v>42962</v>
      </c>
      <c r="ET8" s="14"/>
      <c r="EU8" s="17"/>
      <c r="EV8">
        <v>6.3</v>
      </c>
      <c r="EW8" s="14"/>
      <c r="EX8" s="14"/>
      <c r="EY8" s="14"/>
      <c r="EZ8" s="14"/>
      <c r="FA8" s="14"/>
      <c r="FB8" s="14"/>
      <c r="FC8" s="14"/>
      <c r="FD8" s="14"/>
      <c r="FE8" s="14"/>
      <c r="FF8" s="14"/>
      <c r="FG8" s="14"/>
      <c r="FH8" s="14"/>
      <c r="FI8" s="14"/>
      <c r="FJ8" s="14"/>
      <c r="FK8" s="14"/>
      <c r="FL8" s="14"/>
      <c r="FM8" s="14"/>
      <c r="FN8" s="14"/>
      <c r="FO8" s="14"/>
    </row>
    <row r="9" spans="1:171" ht="16.44">
      <c r="B9" s="284"/>
      <c r="AE9" s="274"/>
      <c r="AF9" s="282"/>
      <c r="AZ9" s="288">
        <f t="shared" si="34"/>
        <v>40603</v>
      </c>
      <c r="BA9" s="48">
        <f t="shared" si="0"/>
        <v>158.6749522648</v>
      </c>
      <c r="BB9" s="222">
        <f t="shared" si="35"/>
        <v>1.862355532637135E-2</v>
      </c>
      <c r="BC9" s="173">
        <f t="shared" si="1"/>
        <v>0</v>
      </c>
      <c r="BD9" s="99">
        <f t="shared" si="36"/>
        <v>1.6807740031481844</v>
      </c>
      <c r="BE9" s="4">
        <f t="shared" si="2"/>
        <v>3.0622764625714116E-2</v>
      </c>
      <c r="BF9" s="3">
        <f t="shared" si="3"/>
        <v>0.47078045866951518</v>
      </c>
      <c r="BG9" s="380"/>
      <c r="BH9" s="378"/>
      <c r="BI9" s="378"/>
      <c r="BJ9" s="378"/>
      <c r="BK9" s="378"/>
      <c r="BL9" s="378"/>
      <c r="BN9" s="392"/>
      <c r="BO9" s="158">
        <f t="shared" si="37"/>
        <v>40603</v>
      </c>
      <c r="BP9" s="373">
        <f>IF($AZ$32="d",'Profils de colonie'!I35,IF($AZ$32="n",'Profils de colonie'!I63,IF($AZ$32="p",'Profils de colonie'!I91,IF($AZ$32="a",'Profils de colonie'!I119,IF($AZ$32="b",'Profils de colonie'!I147,IF($AZ$32="c",'Profils de colonie'!I175,IF($AZ$32="r",'Profils de colonie'!I203,IF($AZ$32="s",'Profils de colonie'!I231,IF($AZ$32="f",'Profils de colonie'!I259,"erreur")))))))))</f>
        <v>7</v>
      </c>
      <c r="BQ9" s="141">
        <v>2000</v>
      </c>
      <c r="BR9">
        <f t="shared" si="38"/>
        <v>14000</v>
      </c>
      <c r="BS9" s="68">
        <f>IF($AZ$32="d",'Profils de colonie'!G35,IF($AZ$32="n",'Profils de colonie'!G63,IF($AZ$32="p",'Profils de colonie'!G91,IF($AZ$32="a",'Profils de colonie'!G119,IF($AZ$32="b",'Profils de colonie'!G147,IF($AZ$32="c",'Profils de colonie'!G175,IF($AZ$32="r",'Profils de colonie'!G203,IF($AZ$32="s",'Profils de colonie'!G231,IF($AZ$32="f",'Profils de colonie'!G259,"erreur")))))))))</f>
        <v>1</v>
      </c>
      <c r="BT9" s="13">
        <f t="shared" si="4"/>
        <v>4500</v>
      </c>
      <c r="BU9" s="17">
        <f t="shared" si="5"/>
        <v>0.32142857142857145</v>
      </c>
      <c r="BV9">
        <f t="shared" si="39"/>
        <v>2700</v>
      </c>
      <c r="BW9" s="14">
        <f t="shared" si="40"/>
        <v>82.681464489428109</v>
      </c>
      <c r="BX9" s="14">
        <f t="shared" si="6"/>
        <v>225</v>
      </c>
      <c r="BY9" s="89">
        <f t="shared" si="41"/>
        <v>10.674899664194921</v>
      </c>
      <c r="BZ9" s="21">
        <f t="shared" si="7"/>
        <v>22.674899664194921</v>
      </c>
      <c r="CA9" s="26">
        <f t="shared" si="8"/>
        <v>0.47078045866951518</v>
      </c>
      <c r="CB9" s="345">
        <f t="shared" si="9"/>
        <v>0.52921954133048477</v>
      </c>
      <c r="CC9" s="343">
        <f t="shared" si="42"/>
        <v>0.19285714285714287</v>
      </c>
      <c r="CD9" s="343"/>
      <c r="CE9" s="22">
        <f t="shared" si="10"/>
        <v>83.973885458214014</v>
      </c>
      <c r="CF9" s="5">
        <f t="shared" si="11"/>
        <v>2700</v>
      </c>
      <c r="CG9" s="67">
        <f>IF($AZ$32="d",'Profils de colonie'!K35,IF($AZ$32="n",'Profils de colonie'!K63,IF($AZ$32="p",'Profils de colonie'!K91,IF($AZ$32="a",'Profils de colonie'!K119,IF($AZ$32="b",'Profils de colonie'!K147,IF($AZ$32="c",'Profils de colonie'!K175,IF($AZ$32="r",'Profils de colonie'!K203,IF($AZ$32="s",'Profils de colonie'!K203,IF($AZ$32="f",'Profils de colonie'!K259,"erreur")))))))))</f>
        <v>0</v>
      </c>
      <c r="CH9" s="87">
        <f t="shared" si="43"/>
        <v>0</v>
      </c>
      <c r="CI9" s="63">
        <f t="shared" si="44"/>
        <v>0</v>
      </c>
      <c r="CJ9" s="84">
        <f t="shared" si="45"/>
        <v>0</v>
      </c>
      <c r="CK9" s="60">
        <f t="shared" si="12"/>
        <v>0</v>
      </c>
      <c r="CL9" s="61">
        <f t="shared" si="46"/>
        <v>0</v>
      </c>
      <c r="CM9" s="266">
        <f t="shared" si="13"/>
        <v>0</v>
      </c>
      <c r="CN9" s="267">
        <f t="shared" si="47"/>
        <v>0</v>
      </c>
      <c r="CO9" s="61">
        <f t="shared" si="14"/>
        <v>25.674899664194921</v>
      </c>
      <c r="CP9" s="265">
        <v>1</v>
      </c>
      <c r="CQ9" s="71">
        <f t="shared" si="15"/>
        <v>4.2749999999999995</v>
      </c>
      <c r="CR9" s="65">
        <f t="shared" si="48"/>
        <v>9.8493837450082944E-2</v>
      </c>
      <c r="CS9" s="85">
        <f t="shared" si="49"/>
        <v>0.52921954133048477</v>
      </c>
      <c r="CT9" s="59">
        <f t="shared" si="50"/>
        <v>2700</v>
      </c>
      <c r="CU9" s="59">
        <f t="shared" si="16"/>
        <v>83.973885458214014</v>
      </c>
      <c r="CV9" s="62">
        <f t="shared" si="17"/>
        <v>3.1101439058597784E-2</v>
      </c>
      <c r="CW9" s="263">
        <f t="shared" si="18"/>
        <v>3.0622764625714116E-2</v>
      </c>
      <c r="CX9" s="265">
        <f t="shared" si="51"/>
        <v>1.0155981617127039</v>
      </c>
      <c r="CY9" s="64">
        <f t="shared" si="19"/>
        <v>1</v>
      </c>
      <c r="CZ9" s="62">
        <f t="shared" si="20"/>
        <v>22.674899664194921</v>
      </c>
      <c r="DA9" s="264">
        <v>1</v>
      </c>
      <c r="DB9" s="70">
        <f t="shared" si="52"/>
        <v>2.2586249999999999</v>
      </c>
      <c r="DC9" s="66">
        <f t="shared" si="21"/>
        <v>6.518049768398862E-2</v>
      </c>
      <c r="DD9" s="91">
        <f t="shared" si="22"/>
        <v>3.4494793088013183E-2</v>
      </c>
      <c r="DE9" s="23">
        <f t="shared" si="23"/>
        <v>-5.0125418235442863E-3</v>
      </c>
      <c r="DF9" s="28">
        <f t="shared" si="24"/>
        <v>2.9482251264468896E-2</v>
      </c>
      <c r="DG9" s="28"/>
      <c r="DH9" s="270">
        <f>IF(OR($AZ$32="n",$AZ$32="p"),0,DU8)</f>
        <v>158.6749522648</v>
      </c>
      <c r="DI9" s="178">
        <f t="shared" si="25"/>
        <v>111.07246658535999</v>
      </c>
      <c r="DJ9" s="178">
        <f>DI9*(1-EN8)</f>
        <v>111.07246658535999</v>
      </c>
      <c r="DK9" s="116">
        <f t="shared" si="53"/>
        <v>76.617436997591824</v>
      </c>
      <c r="DL9" s="13">
        <f t="shared" si="54"/>
        <v>235.29238926239182</v>
      </c>
      <c r="DM9" s="199">
        <f t="shared" si="55"/>
        <v>17.27026534828812</v>
      </c>
      <c r="DN9" s="107">
        <f t="shared" si="26"/>
        <v>218.0221239141037</v>
      </c>
      <c r="DO9" s="182">
        <f>'Immigration de varroas'!E16</f>
        <v>0</v>
      </c>
      <c r="DP9" s="109">
        <f t="shared" si="56"/>
        <v>-7.3946552683148914</v>
      </c>
      <c r="DQ9" s="82">
        <f t="shared" si="64"/>
        <v>-7.3946552683148914</v>
      </c>
      <c r="DR9" s="198">
        <f t="shared" si="27"/>
        <v>210.62746864578881</v>
      </c>
      <c r="DS9" s="278">
        <f>EQ$33</f>
        <v>0</v>
      </c>
      <c r="DT9" s="107">
        <f t="shared" si="57"/>
        <v>0</v>
      </c>
      <c r="DU9" s="79">
        <f t="shared" si="28"/>
        <v>210.62746864578881</v>
      </c>
      <c r="DV9" s="23">
        <f t="shared" si="29"/>
        <v>1.862355532637135E-2</v>
      </c>
      <c r="DW9" s="158">
        <f t="shared" si="30"/>
        <v>40603</v>
      </c>
      <c r="DX9" s="74">
        <f t="shared" si="31"/>
        <v>74.70106680658597</v>
      </c>
      <c r="DY9" s="23">
        <f t="shared" si="32"/>
        <v>5.3357904861847123E-3</v>
      </c>
      <c r="DZ9" s="114">
        <f t="shared" si="33"/>
        <v>1.6807740031481844</v>
      </c>
      <c r="EA9" s="179" t="str">
        <f t="shared" si="66"/>
        <v/>
      </c>
      <c r="EB9" s="179" t="str">
        <f t="shared" si="67"/>
        <v/>
      </c>
      <c r="EC9" s="179"/>
      <c r="ED9">
        <f t="shared" si="68"/>
        <v>0</v>
      </c>
      <c r="EE9" s="13">
        <f t="shared" si="58"/>
        <v>2309.765625</v>
      </c>
      <c r="EF9" s="14">
        <f t="shared" si="59"/>
        <v>0</v>
      </c>
      <c r="EG9" s="13">
        <f t="shared" si="60"/>
        <v>2309.765625</v>
      </c>
      <c r="EH9" s="13">
        <f t="shared" si="65"/>
        <v>151.875</v>
      </c>
      <c r="EI9" s="17">
        <f t="shared" si="61"/>
        <v>0.6</v>
      </c>
      <c r="EJ9" s="197">
        <f t="shared" si="62"/>
        <v>7.3946552683148914</v>
      </c>
      <c r="EL9" s="13">
        <f t="shared" si="63"/>
        <v>76.617436997591824</v>
      </c>
      <c r="EM9" s="130">
        <v>0</v>
      </c>
      <c r="EN9" s="31">
        <f>EP$60</f>
        <v>0</v>
      </c>
      <c r="ER9" s="2">
        <v>40603</v>
      </c>
      <c r="ES9" s="193">
        <v>42979</v>
      </c>
      <c r="EU9" s="17"/>
    </row>
    <row r="10" spans="1:171" ht="16" customHeight="1">
      <c r="B10" s="284"/>
      <c r="AE10" s="274"/>
      <c r="AF10" s="282"/>
      <c r="AZ10" s="288">
        <f t="shared" si="34"/>
        <v>40617</v>
      </c>
      <c r="BA10" s="48">
        <f t="shared" si="0"/>
        <v>210.62746864578881</v>
      </c>
      <c r="BB10" s="222">
        <f t="shared" si="35"/>
        <v>2.3321869250677113E-2</v>
      </c>
      <c r="BC10" s="173">
        <f t="shared" si="1"/>
        <v>0</v>
      </c>
      <c r="BD10" s="99">
        <f t="shared" si="36"/>
        <v>1.9306319695748368</v>
      </c>
      <c r="BE10" s="4">
        <f t="shared" si="2"/>
        <v>2.5065615468121138E-2</v>
      </c>
      <c r="BF10" s="3">
        <f t="shared" si="3"/>
        <v>0.34918467675703302</v>
      </c>
      <c r="BG10" s="379">
        <v>0.9</v>
      </c>
      <c r="BH10" s="394" t="s">
        <v>101</v>
      </c>
      <c r="BI10" s="395"/>
      <c r="BJ10" s="395"/>
      <c r="BK10" s="395"/>
      <c r="BL10" s="396"/>
      <c r="BN10" s="392"/>
      <c r="BO10" s="158">
        <f t="shared" si="37"/>
        <v>40617</v>
      </c>
      <c r="BP10" s="373">
        <f>IF($AZ$32="d",'Profils de colonie'!I36,IF($AZ$32="n",'Profils de colonie'!I64,IF($AZ$32="p",'Profils de colonie'!I92,IF($AZ$32="a",'Profils de colonie'!I120,IF($AZ$32="b",'Profils de colonie'!I148,IF($AZ$32="c",'Profils de colonie'!I176,IF($AZ$32="r",'Profils de colonie'!I204,IF($AZ$32="s",'Profils de colonie'!I232,IF($AZ$32="f",'Profils de colonie'!I260,"erreur")))))))))</f>
        <v>6</v>
      </c>
      <c r="BQ10" s="141">
        <v>2000</v>
      </c>
      <c r="BR10">
        <f t="shared" si="38"/>
        <v>12000</v>
      </c>
      <c r="BS10" s="68">
        <f>IF($AZ$32="d",'Profils de colonie'!G36,IF($AZ$32="n",'Profils de colonie'!G64,IF($AZ$32="p",'Profils de colonie'!G92,IF($AZ$32="a",'Profils de colonie'!G120,IF($AZ$32="b",'Profils de colonie'!G148,IF($AZ$32="c",'Profils de colonie'!G176,IF($AZ$32="r",'Profils de colonie'!G204,IF($AZ$32="s",'Profils de colonie'!G232,IF($AZ$32="f",'Profils de colonie'!G260,"erreur")))))))))</f>
        <v>2</v>
      </c>
      <c r="BT10" s="13">
        <f t="shared" si="4"/>
        <v>9000</v>
      </c>
      <c r="BU10" s="17">
        <f t="shared" si="5"/>
        <v>0.75</v>
      </c>
      <c r="BV10">
        <f t="shared" si="39"/>
        <v>5400</v>
      </c>
      <c r="BW10" s="14">
        <f t="shared" si="40"/>
        <v>135.35432352785415</v>
      </c>
      <c r="BX10" s="14">
        <f t="shared" si="6"/>
        <v>450</v>
      </c>
      <c r="BY10" s="89">
        <f t="shared" si="41"/>
        <v>6.4384103622589048</v>
      </c>
      <c r="BZ10" s="21">
        <f t="shared" si="7"/>
        <v>18.438410362258907</v>
      </c>
      <c r="CA10" s="26">
        <f t="shared" si="8"/>
        <v>0.34918467675703302</v>
      </c>
      <c r="CB10" s="345">
        <f t="shared" si="9"/>
        <v>0.65081532324296698</v>
      </c>
      <c r="CC10" s="343">
        <f t="shared" si="42"/>
        <v>0.45</v>
      </c>
      <c r="CD10" s="343"/>
      <c r="CE10" s="22">
        <f t="shared" si="10"/>
        <v>137.07958409055695</v>
      </c>
      <c r="CF10" s="5">
        <f t="shared" si="11"/>
        <v>5400</v>
      </c>
      <c r="CG10" s="67">
        <f>IF($AZ$32="d",'Profils de colonie'!K36,IF($AZ$32="n",'Profils de colonie'!K64,IF($AZ$32="p",'Profils de colonie'!K92,IF($AZ$32="a",'Profils de colonie'!K120,IF($AZ$32="b",'Profils de colonie'!K148,IF($AZ$32="c",'Profils de colonie'!K176,IF($AZ$32="r",'Profils de colonie'!K204,IF($AZ$32="s",'Profils de colonie'!K204,IF($AZ$32="f",'Profils de colonie'!K260,"erreur")))))))))</f>
        <v>0</v>
      </c>
      <c r="CH10" s="87">
        <f t="shared" si="43"/>
        <v>0</v>
      </c>
      <c r="CI10" s="63">
        <f t="shared" si="44"/>
        <v>0</v>
      </c>
      <c r="CJ10" s="84">
        <f t="shared" si="45"/>
        <v>0</v>
      </c>
      <c r="CK10" s="60">
        <f t="shared" si="12"/>
        <v>0</v>
      </c>
      <c r="CL10" s="61">
        <f t="shared" si="46"/>
        <v>0</v>
      </c>
      <c r="CM10" s="266">
        <f t="shared" si="13"/>
        <v>0</v>
      </c>
      <c r="CN10" s="267">
        <f t="shared" si="47"/>
        <v>0</v>
      </c>
      <c r="CO10" s="61">
        <f t="shared" si="14"/>
        <v>21.438410362258907</v>
      </c>
      <c r="CP10" s="265">
        <v>1</v>
      </c>
      <c r="CQ10" s="71">
        <f t="shared" si="15"/>
        <v>4.2749999999999995</v>
      </c>
      <c r="CR10" s="65">
        <f t="shared" si="48"/>
        <v>9.8493837450082944E-2</v>
      </c>
      <c r="CS10" s="85">
        <f t="shared" si="49"/>
        <v>0.65081532324296698</v>
      </c>
      <c r="CT10" s="59">
        <f t="shared" si="50"/>
        <v>5400</v>
      </c>
      <c r="CU10" s="59">
        <f t="shared" si="16"/>
        <v>137.07958409055695</v>
      </c>
      <c r="CV10" s="62">
        <f t="shared" si="17"/>
        <v>2.5385108164917954E-2</v>
      </c>
      <c r="CW10" s="263">
        <f t="shared" si="18"/>
        <v>2.5065615468121138E-2</v>
      </c>
      <c r="CX10" s="265">
        <f t="shared" si="51"/>
        <v>1.0127058516217262</v>
      </c>
      <c r="CY10" s="64">
        <f t="shared" si="19"/>
        <v>1</v>
      </c>
      <c r="CZ10" s="62">
        <f t="shared" si="20"/>
        <v>18.438410362258907</v>
      </c>
      <c r="DA10" s="264">
        <v>1</v>
      </c>
      <c r="DB10" s="70">
        <f t="shared" si="52"/>
        <v>2.2586249999999999</v>
      </c>
      <c r="DC10" s="66">
        <f t="shared" si="21"/>
        <v>6.518049768398862E-2</v>
      </c>
      <c r="DD10" s="91">
        <f t="shared" si="22"/>
        <v>4.2420466669342516E-2</v>
      </c>
      <c r="DE10" s="23">
        <f t="shared" si="23"/>
        <v>-5.0125418235442863E-3</v>
      </c>
      <c r="DF10" s="28">
        <f t="shared" si="24"/>
        <v>3.7407924845798232E-2</v>
      </c>
      <c r="DG10" s="28"/>
      <c r="DH10" s="270">
        <f>IF(OR($AZ$32="n",$AZ$32="p"),0,DU9)</f>
        <v>210.62746864578881</v>
      </c>
      <c r="DI10" s="178">
        <f t="shared" si="25"/>
        <v>147.43922805205216</v>
      </c>
      <c r="DJ10" s="178">
        <f>DI10*(1-EN9)</f>
        <v>147.43922805205216</v>
      </c>
      <c r="DK10" s="116">
        <f t="shared" si="53"/>
        <v>133.61866548506168</v>
      </c>
      <c r="DL10" s="13">
        <f t="shared" si="54"/>
        <v>344.24613413085046</v>
      </c>
      <c r="DM10" s="199">
        <f t="shared" si="55"/>
        <v>25.267379451581917</v>
      </c>
      <c r="DN10" s="107">
        <f t="shared" si="26"/>
        <v>318.97875467926855</v>
      </c>
      <c r="DO10" s="182">
        <f>'Immigration de varroas'!E17</f>
        <v>0</v>
      </c>
      <c r="DP10" s="109">
        <f t="shared" si="56"/>
        <v>-18.680013491332723</v>
      </c>
      <c r="DQ10" s="82">
        <f t="shared" si="64"/>
        <v>-18.680013491332723</v>
      </c>
      <c r="DR10" s="198">
        <f t="shared" si="27"/>
        <v>300.29874118793583</v>
      </c>
      <c r="DS10" s="278">
        <f>ER$33</f>
        <v>0</v>
      </c>
      <c r="DT10" s="107">
        <f t="shared" si="57"/>
        <v>0</v>
      </c>
      <c r="DU10" s="79">
        <f t="shared" si="28"/>
        <v>300.29874118793583</v>
      </c>
      <c r="DV10" s="23">
        <f t="shared" si="29"/>
        <v>2.3321869250677113E-2</v>
      </c>
      <c r="DW10" s="158">
        <f t="shared" si="30"/>
        <v>40617</v>
      </c>
      <c r="DX10" s="74">
        <f t="shared" si="31"/>
        <v>73.547884555231875</v>
      </c>
      <c r="DY10" s="23">
        <f t="shared" si="32"/>
        <v>6.1289903796026566E-3</v>
      </c>
      <c r="DZ10" s="114">
        <f t="shared" si="33"/>
        <v>1.9306319695748368</v>
      </c>
      <c r="EA10" s="179" t="str">
        <f t="shared" si="66"/>
        <v/>
      </c>
      <c r="EB10" s="179" t="str">
        <f t="shared" si="67"/>
        <v/>
      </c>
      <c r="EC10" s="179"/>
      <c r="ED10">
        <f t="shared" si="68"/>
        <v>0</v>
      </c>
      <c r="EE10" s="13">
        <f t="shared" si="58"/>
        <v>3079.6875</v>
      </c>
      <c r="EF10" s="14">
        <f t="shared" si="59"/>
        <v>-2000</v>
      </c>
      <c r="EG10" s="13">
        <f t="shared" si="60"/>
        <v>5079.6875</v>
      </c>
      <c r="EH10" s="13">
        <f t="shared" si="65"/>
        <v>334.00684931506851</v>
      </c>
      <c r="EI10" s="17">
        <f t="shared" si="61"/>
        <v>0.6</v>
      </c>
      <c r="EJ10" s="197">
        <f t="shared" si="62"/>
        <v>18.680013491332723</v>
      </c>
      <c r="EL10" s="13">
        <f t="shared" si="63"/>
        <v>133.61866548506168</v>
      </c>
      <c r="EM10" s="131">
        <f>ER$58</f>
        <v>68.664309318720015</v>
      </c>
      <c r="EN10" s="31">
        <f>EQ$60</f>
        <v>0</v>
      </c>
      <c r="ER10" s="2">
        <v>40617</v>
      </c>
      <c r="ES10" s="193">
        <v>42993</v>
      </c>
      <c r="EU10" s="17"/>
      <c r="EV10">
        <v>10.08</v>
      </c>
    </row>
    <row r="11" spans="1:171" ht="16.44">
      <c r="B11" s="284"/>
      <c r="AE11" s="274"/>
      <c r="AF11" s="282"/>
      <c r="AZ11" s="288">
        <f t="shared" si="34"/>
        <v>40634</v>
      </c>
      <c r="BA11" s="48">
        <f t="shared" si="0"/>
        <v>300.29874118793583</v>
      </c>
      <c r="BB11" s="222">
        <f t="shared" si="35"/>
        <v>3.018934019778817E-2</v>
      </c>
      <c r="BC11" s="173">
        <f t="shared" si="1"/>
        <v>0</v>
      </c>
      <c r="BD11" s="99">
        <f t="shared" si="36"/>
        <v>2.1188047519507256</v>
      </c>
      <c r="BE11" s="4">
        <f t="shared" si="2"/>
        <v>2.4676640390052573E-2</v>
      </c>
      <c r="BF11" s="3">
        <f t="shared" si="3"/>
        <v>0.26878691260437249</v>
      </c>
      <c r="BG11" s="380"/>
      <c r="BH11" s="397"/>
      <c r="BI11" s="398"/>
      <c r="BJ11" s="398"/>
      <c r="BK11" s="398"/>
      <c r="BL11" s="399"/>
      <c r="BN11" s="392"/>
      <c r="BO11" s="158">
        <f t="shared" si="37"/>
        <v>40634</v>
      </c>
      <c r="BP11" s="373">
        <f>IF($AZ$32="d",'Profils de colonie'!I37,IF($AZ$32="n",'Profils de colonie'!I65,IF($AZ$32="p",'Profils de colonie'!I93,IF($AZ$32="a",'Profils de colonie'!I121,IF($AZ$32="b",'Profils de colonie'!I149,IF($AZ$32="c",'Profils de colonie'!I177,IF($AZ$32="r",'Profils de colonie'!I205,IF($AZ$32="s",'Profils de colonie'!I233,IF($AZ$32="f",'Profils de colonie'!I261,"erreur")))))))))</f>
        <v>6</v>
      </c>
      <c r="BQ11" s="141">
        <v>2000</v>
      </c>
      <c r="BR11">
        <f t="shared" si="38"/>
        <v>12000</v>
      </c>
      <c r="BS11" s="68">
        <f>IF($AZ$32="d",'Profils de colonie'!G37,IF($AZ$32="n",'Profils de colonie'!G65,IF($AZ$32="p",'Profils de colonie'!G93,IF($AZ$32="a",'Profils de colonie'!G121,IF($AZ$32="b",'Profils de colonie'!G149,IF($AZ$32="c",'Profils de colonie'!G177,IF($AZ$32="r",'Profils de colonie'!G205,IF($AZ$32="s",'Profils de colonie'!G233,IF($AZ$32="f",'Profils de colonie'!G261,"erreur")))))))))</f>
        <v>3</v>
      </c>
      <c r="BT11" s="13">
        <f t="shared" si="4"/>
        <v>13500</v>
      </c>
      <c r="BU11" s="17">
        <f t="shared" si="5"/>
        <v>1.125</v>
      </c>
      <c r="BV11">
        <f t="shared" si="39"/>
        <v>8100</v>
      </c>
      <c r="BW11" s="14">
        <f t="shared" si="40"/>
        <v>199.88078715942584</v>
      </c>
      <c r="BX11" s="14">
        <f t="shared" si="6"/>
        <v>675</v>
      </c>
      <c r="BY11" s="89">
        <f t="shared" si="41"/>
        <v>4.4110848217180827</v>
      </c>
      <c r="BZ11" s="21">
        <f t="shared" si="7"/>
        <v>16.411084821718084</v>
      </c>
      <c r="CA11" s="26">
        <f t="shared" si="8"/>
        <v>0.26878691260437249</v>
      </c>
      <c r="CB11" s="345">
        <f t="shared" si="9"/>
        <v>0.73121308739562751</v>
      </c>
      <c r="CC11" s="343">
        <f t="shared" si="42"/>
        <v>0.67500000000000004</v>
      </c>
      <c r="CD11" s="343"/>
      <c r="CE11" s="22">
        <f t="shared" si="10"/>
        <v>219.58236968505105</v>
      </c>
      <c r="CF11" s="5">
        <f t="shared" si="11"/>
        <v>8100</v>
      </c>
      <c r="CG11" s="67">
        <f>IF($AZ$32="d",'Profils de colonie'!K37,IF($AZ$32="n",'Profils de colonie'!K65,IF($AZ$32="p",'Profils de colonie'!K93,IF($AZ$32="a",'Profils de colonie'!K121,IF($AZ$32="b",'Profils de colonie'!K149,IF($AZ$32="c",'Profils de colonie'!K177,IF($AZ$32="r",'Profils de colonie'!K205,IF($AZ$32="s",'Profils de colonie'!K205,IF($AZ$32="f",'Profils de colonie'!K261,"erreur")))))))))</f>
        <v>0.03</v>
      </c>
      <c r="CH11" s="87">
        <f t="shared" si="43"/>
        <v>1.9199999999999998E-2</v>
      </c>
      <c r="CI11" s="63">
        <f t="shared" si="44"/>
        <v>9.5999999999999988E-2</v>
      </c>
      <c r="CJ11" s="84">
        <f t="shared" si="45"/>
        <v>7.0196456389980233E-2</v>
      </c>
      <c r="CK11" s="60">
        <f t="shared" si="12"/>
        <v>21.079907489764899</v>
      </c>
      <c r="CL11" s="61">
        <f t="shared" si="46"/>
        <v>0.13554467264509323</v>
      </c>
      <c r="CM11" s="266">
        <f t="shared" si="13"/>
        <v>0.12675984789026884</v>
      </c>
      <c r="CN11" s="267">
        <f t="shared" si="47"/>
        <v>1.0693028975739154</v>
      </c>
      <c r="CO11" s="61">
        <f t="shared" si="14"/>
        <v>19.411084821718084</v>
      </c>
      <c r="CP11" s="265">
        <v>1</v>
      </c>
      <c r="CQ11" s="71">
        <f t="shared" si="15"/>
        <v>4.2749999999999995</v>
      </c>
      <c r="CR11" s="65">
        <f t="shared" si="48"/>
        <v>9.8493837450082944E-2</v>
      </c>
      <c r="CS11" s="85">
        <f t="shared" si="49"/>
        <v>0.66101663100564734</v>
      </c>
      <c r="CT11" s="59">
        <f t="shared" si="50"/>
        <v>7944.4800000000005</v>
      </c>
      <c r="CU11" s="59">
        <f t="shared" si="16"/>
        <v>198.50246219528614</v>
      </c>
      <c r="CV11" s="62">
        <f t="shared" si="17"/>
        <v>2.4986212086289615E-2</v>
      </c>
      <c r="CW11" s="263">
        <f t="shared" si="18"/>
        <v>2.4676640390052573E-2</v>
      </c>
      <c r="CX11" s="265">
        <f t="shared" si="51"/>
        <v>1.0125041005282427</v>
      </c>
      <c r="CY11" s="64">
        <f t="shared" si="19"/>
        <v>0.90400000000000003</v>
      </c>
      <c r="CZ11" s="62">
        <f t="shared" si="20"/>
        <v>16.411084821718084</v>
      </c>
      <c r="DA11" s="264">
        <v>1</v>
      </c>
      <c r="DB11" s="70">
        <f t="shared" si="52"/>
        <v>2.2586249999999999</v>
      </c>
      <c r="DC11" s="66">
        <f t="shared" si="21"/>
        <v>6.518049768398862E-2</v>
      </c>
      <c r="DD11" s="91">
        <f t="shared" si="22"/>
        <v>4.9999311351588104E-2</v>
      </c>
      <c r="DE11" s="23">
        <f t="shared" si="23"/>
        <v>-5.0125418235442863E-3</v>
      </c>
      <c r="DF11" s="28">
        <f t="shared" si="24"/>
        <v>4.498676952804382E-2</v>
      </c>
      <c r="DG11" s="28"/>
      <c r="DH11" s="271">
        <f>IF(OR($AZ$32="n",$AZ$32="p"),AZ33,DU10)</f>
        <v>300.29874118793583</v>
      </c>
      <c r="DI11" s="178">
        <f t="shared" si="25"/>
        <v>210.20911883155506</v>
      </c>
      <c r="DJ11" s="271">
        <f>IF(OR($AZ$32="n",$AZ$32="p"),(DI11*(1-0.5)),(DI11*(1-EN10)))</f>
        <v>210.20911883155506</v>
      </c>
      <c r="DK11" s="116">
        <f t="shared" si="53"/>
        <v>239.45865632138995</v>
      </c>
      <c r="DL11" s="13">
        <f t="shared" si="54"/>
        <v>539.75739750932576</v>
      </c>
      <c r="DM11" s="199">
        <f t="shared" si="55"/>
        <v>39.617743301897065</v>
      </c>
      <c r="DN11" s="107">
        <f t="shared" si="26"/>
        <v>500.13965420742869</v>
      </c>
      <c r="DO11" s="182">
        <f>'Immigration de varroas'!E18</f>
        <v>0</v>
      </c>
      <c r="DP11" s="109">
        <f t="shared" si="56"/>
        <v>-24.85812003627905</v>
      </c>
      <c r="DQ11" s="82">
        <f t="shared" si="64"/>
        <v>-24.85812003627905</v>
      </c>
      <c r="DR11" s="198">
        <f t="shared" si="27"/>
        <v>475.28153417114964</v>
      </c>
      <c r="DS11" s="278">
        <f>ES$33</f>
        <v>0</v>
      </c>
      <c r="DT11" s="107">
        <f t="shared" si="57"/>
        <v>0</v>
      </c>
      <c r="DU11" s="79">
        <f t="shared" si="28"/>
        <v>475.28153417114964</v>
      </c>
      <c r="DV11" s="23">
        <f t="shared" si="29"/>
        <v>3.018934019778817E-2</v>
      </c>
      <c r="DW11" s="158">
        <f t="shared" si="30"/>
        <v>40634</v>
      </c>
      <c r="DX11" s="74">
        <f t="shared" si="31"/>
        <v>80.716371502884783</v>
      </c>
      <c r="DY11" s="23">
        <f t="shared" si="32"/>
        <v>6.7263642919070657E-3</v>
      </c>
      <c r="DZ11" s="114">
        <f t="shared" si="33"/>
        <v>2.1188047519507256</v>
      </c>
      <c r="EA11" s="179" t="str">
        <f t="shared" si="66"/>
        <v/>
      </c>
      <c r="EB11" s="179" t="str">
        <f t="shared" si="67"/>
        <v/>
      </c>
      <c r="EC11" s="179"/>
      <c r="ED11">
        <f t="shared" si="68"/>
        <v>0</v>
      </c>
      <c r="EE11" s="13">
        <f t="shared" si="58"/>
        <v>6159.375</v>
      </c>
      <c r="EF11" s="14">
        <f t="shared" si="59"/>
        <v>0</v>
      </c>
      <c r="EG11" s="13">
        <f t="shared" si="60"/>
        <v>6159.375</v>
      </c>
      <c r="EH11" s="13">
        <f t="shared" si="65"/>
        <v>405</v>
      </c>
      <c r="EI11" s="17">
        <f t="shared" si="61"/>
        <v>0.6</v>
      </c>
      <c r="EJ11" s="197">
        <f t="shared" si="62"/>
        <v>24.85812003627905</v>
      </c>
      <c r="EL11" s="13">
        <f t="shared" si="63"/>
        <v>239.45865632138995</v>
      </c>
      <c r="EM11" s="131">
        <f>ES$58</f>
        <v>74.408914049046359</v>
      </c>
      <c r="EN11" s="272">
        <f>IF(OR($AZ$32="n",$AZ$32="p"),0.15,ER60)</f>
        <v>0.19007351772533218</v>
      </c>
      <c r="ER11" s="2">
        <v>40634</v>
      </c>
      <c r="ES11" s="193">
        <v>43009</v>
      </c>
      <c r="EU11" s="17"/>
    </row>
    <row r="12" spans="1:171" ht="16" customHeight="1">
      <c r="B12" s="284"/>
      <c r="AE12" s="274"/>
      <c r="AF12" s="282"/>
      <c r="AZ12" s="288">
        <f t="shared" si="34"/>
        <v>40648</v>
      </c>
      <c r="BA12" s="48">
        <f t="shared" si="0"/>
        <v>475.28153417114964</v>
      </c>
      <c r="BB12" s="222">
        <f t="shared" si="35"/>
        <v>3.0616145686081425E-2</v>
      </c>
      <c r="BC12" s="173">
        <f t="shared" si="1"/>
        <v>0</v>
      </c>
      <c r="BD12" s="99">
        <f t="shared" si="36"/>
        <v>2.0159762222785864</v>
      </c>
      <c r="BE12" s="4">
        <f t="shared" si="2"/>
        <v>2.2941690139164694E-2</v>
      </c>
      <c r="BF12" s="3">
        <f t="shared" si="3"/>
        <v>0.21544870751458203</v>
      </c>
      <c r="BG12" s="379">
        <v>0.5</v>
      </c>
      <c r="BH12" s="378" t="s">
        <v>102</v>
      </c>
      <c r="BI12" s="378"/>
      <c r="BJ12" s="378"/>
      <c r="BK12" s="378"/>
      <c r="BL12" s="378"/>
      <c r="BN12" s="392"/>
      <c r="BO12" s="158">
        <f t="shared" si="37"/>
        <v>40648</v>
      </c>
      <c r="BP12" s="373">
        <f>IF($AZ$32="d",'Profils de colonie'!I38,IF($AZ$32="n",'Profils de colonie'!I66,IF($AZ$32="p",'Profils de colonie'!I94,IF($AZ$32="a",'Profils de colonie'!I122,IF($AZ$32="b",'Profils de colonie'!I150,IF($AZ$32="c",'Profils de colonie'!I178,IF($AZ$32="r",'Profils de colonie'!I206,IF($AZ$32="s",'Profils de colonie'!I234,IF($AZ$32="f",'Profils de colonie'!I262,"erreur")))))))))</f>
        <v>8</v>
      </c>
      <c r="BQ12" s="141">
        <v>2000</v>
      </c>
      <c r="BR12">
        <f t="shared" si="38"/>
        <v>16000</v>
      </c>
      <c r="BS12" s="68">
        <f>IF($AZ$32="d",'Profils de colonie'!G38,IF($AZ$32="n",'Profils de colonie'!G66,IF($AZ$32="p",'Profils de colonie'!G94,IF($AZ$32="a",'Profils de colonie'!G122,IF($AZ$32="b",'Profils de colonie'!G150,IF($AZ$32="c",'Profils de colonie'!G178,IF($AZ$32="r",'Profils de colonie'!G206,IF($AZ$32="s",'Profils de colonie'!G234,IF($AZ$32="f",'Profils de colonie'!G262,"erreur")))))))))</f>
        <v>5</v>
      </c>
      <c r="BT12" s="13">
        <f t="shared" si="4"/>
        <v>22500</v>
      </c>
      <c r="BU12" s="17">
        <f t="shared" si="5"/>
        <v>1.40625</v>
      </c>
      <c r="BV12">
        <f t="shared" si="39"/>
        <v>13500</v>
      </c>
      <c r="BW12" s="14">
        <f t="shared" si="40"/>
        <v>309.7128168787234</v>
      </c>
      <c r="BX12" s="14">
        <f t="shared" si="6"/>
        <v>1125</v>
      </c>
      <c r="BY12" s="89">
        <f t="shared" si="41"/>
        <v>3.2953670651470341</v>
      </c>
      <c r="BZ12" s="21">
        <f t="shared" si="7"/>
        <v>15.295367065147033</v>
      </c>
      <c r="CA12" s="26">
        <f t="shared" si="8"/>
        <v>0.21544870751458203</v>
      </c>
      <c r="CB12" s="345">
        <f t="shared" si="9"/>
        <v>0.78455129248541799</v>
      </c>
      <c r="CC12" s="343">
        <f t="shared" si="42"/>
        <v>0.84375</v>
      </c>
      <c r="CD12" s="343"/>
      <c r="CE12" s="22">
        <f t="shared" si="10"/>
        <v>372.88274192842783</v>
      </c>
      <c r="CF12" s="5">
        <f t="shared" si="11"/>
        <v>13500</v>
      </c>
      <c r="CG12" s="67">
        <f>IF($AZ$32="d",'Profils de colonie'!K38,IF($AZ$32="n",'Profils de colonie'!K66,IF($AZ$32="p",'Profils de colonie'!K94,IF($AZ$32="a",'Profils de colonie'!K122,IF($AZ$32="b",'Profils de colonie'!K150,IF($AZ$32="c",'Profils de colonie'!K178,IF($AZ$32="r",'Profils de colonie'!K206,IF($AZ$32="s",'Profils de colonie'!K206,IF($AZ$32="f",'Profils de colonie'!K262,"erreur")))))))))</f>
        <v>0.06</v>
      </c>
      <c r="CH12" s="87">
        <f t="shared" si="43"/>
        <v>3.8399999999999997E-2</v>
      </c>
      <c r="CI12" s="63">
        <f t="shared" si="44"/>
        <v>0.19199999999999998</v>
      </c>
      <c r="CJ12" s="84">
        <f t="shared" si="45"/>
        <v>0.15063384815720024</v>
      </c>
      <c r="CK12" s="60">
        <f t="shared" si="12"/>
        <v>71.593486450258141</v>
      </c>
      <c r="CL12" s="61">
        <f t="shared" si="46"/>
        <v>0.13810471923275106</v>
      </c>
      <c r="CM12" s="266">
        <f t="shared" si="13"/>
        <v>0.12899252426473307</v>
      </c>
      <c r="CN12" s="267">
        <f t="shared" si="47"/>
        <v>1.0706412640574186</v>
      </c>
      <c r="CO12" s="61">
        <f t="shared" si="14"/>
        <v>18.295367065147033</v>
      </c>
      <c r="CP12" s="265">
        <v>1</v>
      </c>
      <c r="CQ12" s="71">
        <f t="shared" si="15"/>
        <v>4.2749999999999995</v>
      </c>
      <c r="CR12" s="65">
        <f t="shared" si="48"/>
        <v>9.8493837450082944E-2</v>
      </c>
      <c r="CS12" s="85">
        <f t="shared" si="49"/>
        <v>0.63391744432821773</v>
      </c>
      <c r="CT12" s="59">
        <f t="shared" si="50"/>
        <v>12981.6</v>
      </c>
      <c r="CU12" s="59">
        <f t="shared" si="16"/>
        <v>301.28925547816971</v>
      </c>
      <c r="CV12" s="62">
        <f t="shared" si="17"/>
        <v>2.3208946160578794E-2</v>
      </c>
      <c r="CW12" s="263">
        <f t="shared" si="18"/>
        <v>2.2941690139164694E-2</v>
      </c>
      <c r="CX12" s="265">
        <f t="shared" si="51"/>
        <v>1.0116052659822827</v>
      </c>
      <c r="CY12" s="64">
        <f t="shared" si="19"/>
        <v>0.80800000000000005</v>
      </c>
      <c r="CZ12" s="62">
        <f t="shared" si="20"/>
        <v>15.295367065147033</v>
      </c>
      <c r="DA12" s="264">
        <v>1</v>
      </c>
      <c r="DB12" s="70">
        <f t="shared" si="52"/>
        <v>2.2586249999999999</v>
      </c>
      <c r="DC12" s="66">
        <f t="shared" si="21"/>
        <v>6.518049768398862E-2</v>
      </c>
      <c r="DD12" s="91">
        <f t="shared" si="22"/>
        <v>5.6155560266751142E-2</v>
      </c>
      <c r="DE12" s="23">
        <f t="shared" si="23"/>
        <v>-5.0125418235442863E-3</v>
      </c>
      <c r="DF12" s="28">
        <f t="shared" si="24"/>
        <v>5.1143018443206859E-2</v>
      </c>
      <c r="DG12" s="28"/>
      <c r="DH12" s="270">
        <f>DU11</f>
        <v>475.28153417114964</v>
      </c>
      <c r="DI12" s="178">
        <f t="shared" si="25"/>
        <v>332.69707391980472</v>
      </c>
      <c r="DJ12" s="271">
        <f>IF(OR($AZ$32="n",$AZ$32="p"),(DI12*(1-0.25)),(DI12*(1-EN11)))</f>
        <v>269.46017074294258</v>
      </c>
      <c r="DK12" s="116">
        <f t="shared" si="53"/>
        <v>363.52884483293138</v>
      </c>
      <c r="DL12" s="13">
        <f t="shared" si="54"/>
        <v>838.81037900408103</v>
      </c>
      <c r="DM12" s="199">
        <f t="shared" si="55"/>
        <v>61.567983000689651</v>
      </c>
      <c r="DN12" s="107">
        <f t="shared" si="26"/>
        <v>777.24239600339138</v>
      </c>
      <c r="DO12" s="182">
        <f>'Immigration de varroas'!E19</f>
        <v>0</v>
      </c>
      <c r="DP12" s="109">
        <f t="shared" si="56"/>
        <v>-20.11776271815506</v>
      </c>
      <c r="DQ12" s="82">
        <f t="shared" si="64"/>
        <v>-20.11776271815506</v>
      </c>
      <c r="DR12" s="198">
        <f t="shared" si="27"/>
        <v>757.12463328523631</v>
      </c>
      <c r="DS12" s="278">
        <f>ET$33</f>
        <v>0</v>
      </c>
      <c r="DT12" s="107">
        <f t="shared" si="57"/>
        <v>0</v>
      </c>
      <c r="DU12" s="79">
        <f t="shared" si="28"/>
        <v>757.12463328523631</v>
      </c>
      <c r="DV12" s="23">
        <f t="shared" si="29"/>
        <v>3.0616145686081425E-2</v>
      </c>
      <c r="DW12" s="158">
        <f t="shared" si="30"/>
        <v>40648</v>
      </c>
      <c r="DX12" s="74">
        <f t="shared" si="31"/>
        <v>102.39879224272184</v>
      </c>
      <c r="DY12" s="23">
        <f t="shared" si="32"/>
        <v>6.3999245151701153E-3</v>
      </c>
      <c r="DZ12" s="114">
        <f t="shared" si="33"/>
        <v>2.0159762222785864</v>
      </c>
      <c r="EA12" s="179" t="str">
        <f t="shared" si="66"/>
        <v/>
      </c>
      <c r="EB12" s="179" t="str">
        <f t="shared" si="67"/>
        <v/>
      </c>
      <c r="EC12" s="179"/>
      <c r="ED12">
        <f t="shared" si="68"/>
        <v>0</v>
      </c>
      <c r="EE12" s="13">
        <f t="shared" si="58"/>
        <v>9239.0625</v>
      </c>
      <c r="EF12" s="14">
        <f t="shared" si="59"/>
        <v>4000</v>
      </c>
      <c r="EG12" s="13">
        <f t="shared" si="60"/>
        <v>5239.0625</v>
      </c>
      <c r="EH12" s="13">
        <f t="shared" si="65"/>
        <v>344.48630136986299</v>
      </c>
      <c r="EI12" s="17">
        <f t="shared" si="61"/>
        <v>0.6</v>
      </c>
      <c r="EJ12" s="197">
        <f t="shared" si="62"/>
        <v>20.11776271815506</v>
      </c>
      <c r="EL12" s="13">
        <f t="shared" si="63"/>
        <v>363.52884483293138</v>
      </c>
      <c r="EM12" s="131">
        <f>ET$58</f>
        <v>93.589327164010868</v>
      </c>
      <c r="EN12" s="31">
        <f>ES$60</f>
        <v>0.12950947508180505</v>
      </c>
      <c r="ER12" s="2">
        <v>40648</v>
      </c>
      <c r="ES12" s="193">
        <v>43023</v>
      </c>
      <c r="EU12" s="17">
        <v>0.62</v>
      </c>
      <c r="EV12">
        <v>7.875</v>
      </c>
    </row>
    <row r="13" spans="1:171" ht="16.44">
      <c r="B13" s="284"/>
      <c r="AE13" s="274"/>
      <c r="AF13" s="282"/>
      <c r="AZ13" s="288">
        <f t="shared" si="34"/>
        <v>40664</v>
      </c>
      <c r="BA13" s="48">
        <f t="shared" si="0"/>
        <v>757.12463328523631</v>
      </c>
      <c r="BB13" s="222">
        <f t="shared" si="35"/>
        <v>2.9958220404736884E-2</v>
      </c>
      <c r="BC13" s="173">
        <f t="shared" si="1"/>
        <v>0</v>
      </c>
      <c r="BD13" s="99">
        <f t="shared" si="36"/>
        <v>2.6979622282267659</v>
      </c>
      <c r="BE13" s="4">
        <f t="shared" si="2"/>
        <v>2.9066463745285764E-2</v>
      </c>
      <c r="BF13" s="3">
        <f t="shared" si="3"/>
        <v>0.24887462343620659</v>
      </c>
      <c r="BG13" s="380"/>
      <c r="BH13" s="378"/>
      <c r="BI13" s="378"/>
      <c r="BJ13" s="378"/>
      <c r="BK13" s="378"/>
      <c r="BL13" s="378"/>
      <c r="BN13" s="392"/>
      <c r="BO13" s="158">
        <f t="shared" si="37"/>
        <v>40664</v>
      </c>
      <c r="BP13" s="373">
        <f>IF($AZ$32="d",'Profils de colonie'!I39,IF($AZ$32="n",'Profils de colonie'!I67,IF($AZ$32="p",'Profils de colonie'!I95,IF($AZ$32="a",'Profils de colonie'!I123,IF($AZ$32="b",'Profils de colonie'!I151,IF($AZ$32="c",'Profils de colonie'!I179,IF($AZ$32="r",'Profils de colonie'!I207,IF($AZ$32="s",'Profils de colonie'!I235,IF($AZ$32="f",'Profils de colonie'!I263,"erreur")))))))))</f>
        <v>11</v>
      </c>
      <c r="BQ13" s="141">
        <v>2000</v>
      </c>
      <c r="BR13">
        <f t="shared" si="38"/>
        <v>22000</v>
      </c>
      <c r="BS13" s="68">
        <f>IF($AZ$32="d",'Profils de colonie'!G39,IF($AZ$32="n",'Profils de colonie'!G67,IF($AZ$32="p",'Profils de colonie'!G95,IF($AZ$32="a",'Profils de colonie'!G123,IF($AZ$32="b",'Profils de colonie'!G151,IF($AZ$32="c",'Profils de colonie'!G179,IF($AZ$32="r",'Profils de colonie'!G207,IF($AZ$32="s",'Profils de colonie'!G235,IF($AZ$32="f",'Profils de colonie'!G263,"erreur")))))))))</f>
        <v>6</v>
      </c>
      <c r="BT13" s="13">
        <f t="shared" si="4"/>
        <v>27000</v>
      </c>
      <c r="BU13" s="17">
        <f t="shared" si="5"/>
        <v>1.2272727272727273</v>
      </c>
      <c r="BV13">
        <f t="shared" si="39"/>
        <v>16200</v>
      </c>
      <c r="BW13" s="14">
        <f t="shared" si="40"/>
        <v>470.87671267362936</v>
      </c>
      <c r="BX13" s="14">
        <f t="shared" si="6"/>
        <v>1350</v>
      </c>
      <c r="BY13" s="89">
        <f t="shared" si="41"/>
        <v>3.9760279367699338</v>
      </c>
      <c r="BZ13" s="21">
        <f t="shared" si="7"/>
        <v>15.976027936769935</v>
      </c>
      <c r="CA13" s="26">
        <f t="shared" si="8"/>
        <v>0.24887462343620659</v>
      </c>
      <c r="CB13" s="345">
        <f t="shared" si="9"/>
        <v>0.75112537656379341</v>
      </c>
      <c r="CC13" s="343">
        <f t="shared" si="42"/>
        <v>0.73636363636363633</v>
      </c>
      <c r="CD13" s="343"/>
      <c r="CE13" s="22">
        <f t="shared" si="10"/>
        <v>568.69552528209715</v>
      </c>
      <c r="CF13" s="5">
        <f t="shared" si="11"/>
        <v>16200</v>
      </c>
      <c r="CG13" s="67">
        <f>IF($AZ$32="d",'Profils de colonie'!K39,IF($AZ$32="n",'Profils de colonie'!K67,IF($AZ$32="p",'Profils de colonie'!K95,IF($AZ$32="a",'Profils de colonie'!K123,IF($AZ$32="b",'Profils de colonie'!K151,IF($AZ$32="c",'Profils de colonie'!K179,IF($AZ$32="r",'Profils de colonie'!K207,IF($AZ$32="s",'Profils de colonie'!K207,IF($AZ$32="f",'Profils de colonie'!K263,"erreur")))))))))</f>
        <v>0.06</v>
      </c>
      <c r="CH13" s="87">
        <f t="shared" si="43"/>
        <v>3.8399999999999997E-2</v>
      </c>
      <c r="CI13" s="63">
        <f t="shared" si="44"/>
        <v>0.19199999999999998</v>
      </c>
      <c r="CJ13" s="84">
        <f t="shared" si="45"/>
        <v>0.14421607230024833</v>
      </c>
      <c r="CK13" s="60">
        <f t="shared" si="12"/>
        <v>109.18954085416264</v>
      </c>
      <c r="CL13" s="61">
        <f t="shared" si="46"/>
        <v>0.17552331027225221</v>
      </c>
      <c r="CM13" s="266">
        <f t="shared" si="13"/>
        <v>0.1609821607887425</v>
      </c>
      <c r="CN13" s="267">
        <f t="shared" si="47"/>
        <v>1.0903277071960298</v>
      </c>
      <c r="CO13" s="61">
        <f t="shared" si="14"/>
        <v>18.976027936769935</v>
      </c>
      <c r="CP13" s="265">
        <v>1</v>
      </c>
      <c r="CQ13" s="71">
        <f t="shared" si="15"/>
        <v>4.2749999999999995</v>
      </c>
      <c r="CR13" s="65">
        <f t="shared" si="48"/>
        <v>9.8493837450082944E-2</v>
      </c>
      <c r="CS13" s="85">
        <f t="shared" si="49"/>
        <v>0.60690930426354506</v>
      </c>
      <c r="CT13" s="59">
        <f t="shared" si="50"/>
        <v>15577.92</v>
      </c>
      <c r="CU13" s="59">
        <f t="shared" si="16"/>
        <v>459.50598442793449</v>
      </c>
      <c r="CV13" s="62">
        <f>CU13/CT13</f>
        <v>2.9497261792841054E-2</v>
      </c>
      <c r="CW13" s="263">
        <f t="shared" si="18"/>
        <v>2.9066463745285764E-2</v>
      </c>
      <c r="CX13" s="265">
        <f t="shared" si="51"/>
        <v>1.0147862246022408</v>
      </c>
      <c r="CY13" s="64">
        <f t="shared" si="19"/>
        <v>0.80800000000000005</v>
      </c>
      <c r="CZ13" s="62">
        <f t="shared" si="20"/>
        <v>15.976027936769935</v>
      </c>
      <c r="DA13" s="264">
        <v>1</v>
      </c>
      <c r="DB13" s="70">
        <f t="shared" si="52"/>
        <v>2.2586249999999999</v>
      </c>
      <c r="DC13" s="66">
        <f t="shared" si="21"/>
        <v>6.518049768398862E-2</v>
      </c>
      <c r="DD13" s="91">
        <f t="shared" si="22"/>
        <v>5.3763044883771212E-2</v>
      </c>
      <c r="DE13" s="23">
        <f t="shared" si="23"/>
        <v>-5.0125418235442863E-3</v>
      </c>
      <c r="DF13" s="28">
        <f t="shared" si="24"/>
        <v>4.8750503060226928E-2</v>
      </c>
      <c r="DG13" s="28"/>
      <c r="DH13" s="270">
        <f t="shared" ref="DH13:DH29" si="69">DU12</f>
        <v>757.12463328523631</v>
      </c>
      <c r="DI13" s="178">
        <f t="shared" si="25"/>
        <v>529.98724329966535</v>
      </c>
      <c r="DJ13" s="178">
        <f>DI13*(1-EN12)</f>
        <v>461.34887361987279</v>
      </c>
      <c r="DK13" s="116">
        <f t="shared" si="53"/>
        <v>583.6810929610192</v>
      </c>
      <c r="DL13" s="13">
        <f t="shared" si="54"/>
        <v>1340.8057262462555</v>
      </c>
      <c r="DM13" s="199">
        <f t="shared" si="55"/>
        <v>98.414023272779787</v>
      </c>
      <c r="DN13" s="107">
        <f t="shared" si="26"/>
        <v>1242.3917029734757</v>
      </c>
      <c r="DO13" s="182">
        <f>'Immigration de varroas'!E20</f>
        <v>0</v>
      </c>
      <c r="DP13" s="109">
        <f t="shared" si="56"/>
        <v>-48.298341674952368</v>
      </c>
      <c r="DQ13" s="82">
        <f t="shared" si="64"/>
        <v>-48.298341674952368</v>
      </c>
      <c r="DR13" s="198">
        <f t="shared" si="27"/>
        <v>1194.0933612985234</v>
      </c>
      <c r="DS13" s="278">
        <f>EU$33</f>
        <v>0</v>
      </c>
      <c r="DT13" s="107">
        <f t="shared" si="57"/>
        <v>0</v>
      </c>
      <c r="DU13" s="79">
        <f t="shared" si="28"/>
        <v>1194.0933612985234</v>
      </c>
      <c r="DV13" s="23">
        <f t="shared" si="29"/>
        <v>2.9958220404736884E-2</v>
      </c>
      <c r="DW13" s="158">
        <f t="shared" si="30"/>
        <v>40664</v>
      </c>
      <c r="DX13" s="74">
        <f t="shared" si="31"/>
        <v>188.42910800313919</v>
      </c>
      <c r="DY13" s="23">
        <f t="shared" si="32"/>
        <v>8.5649594546881452E-3</v>
      </c>
      <c r="DZ13" s="114">
        <f t="shared" si="33"/>
        <v>2.6979622282267659</v>
      </c>
      <c r="EA13" s="179" t="str">
        <f t="shared" si="66"/>
        <v/>
      </c>
      <c r="EB13" s="179" t="str">
        <f t="shared" si="67"/>
        <v/>
      </c>
      <c r="EC13" s="179"/>
      <c r="ED13">
        <f t="shared" si="68"/>
        <v>0</v>
      </c>
      <c r="EE13" s="13">
        <f t="shared" si="58"/>
        <v>15398.4375</v>
      </c>
      <c r="EF13" s="14">
        <f t="shared" si="59"/>
        <v>6000</v>
      </c>
      <c r="EG13" s="13">
        <f t="shared" si="60"/>
        <v>9398.4375</v>
      </c>
      <c r="EH13" s="13">
        <f t="shared" si="65"/>
        <v>617.97945205479448</v>
      </c>
      <c r="EI13" s="17">
        <f t="shared" si="61"/>
        <v>0.6</v>
      </c>
      <c r="EJ13" s="197">
        <f t="shared" si="62"/>
        <v>48.298341674952368</v>
      </c>
      <c r="EL13" s="13">
        <f t="shared" si="63"/>
        <v>583.6810929610192</v>
      </c>
      <c r="EM13" s="131">
        <f>EU$58</f>
        <v>124.9489120019891</v>
      </c>
      <c r="EN13" s="31">
        <f>ET$60</f>
        <v>0.10439898733345916</v>
      </c>
      <c r="ER13" s="2">
        <v>40664</v>
      </c>
      <c r="ES13" s="193">
        <v>43040</v>
      </c>
      <c r="EU13" s="17">
        <v>0.6</v>
      </c>
    </row>
    <row r="14" spans="1:171" ht="16" customHeight="1">
      <c r="B14" s="284"/>
      <c r="AE14" s="274"/>
      <c r="AF14" s="282"/>
      <c r="AZ14" s="288">
        <f t="shared" si="34"/>
        <v>40678</v>
      </c>
      <c r="BA14" s="48">
        <f t="shared" si="0"/>
        <v>1194.0933612985234</v>
      </c>
      <c r="BB14" s="222">
        <f t="shared" si="35"/>
        <v>2.8336995951548351E-2</v>
      </c>
      <c r="BC14" s="173">
        <f t="shared" si="1"/>
        <v>0</v>
      </c>
      <c r="BD14" s="99">
        <f t="shared" si="36"/>
        <v>3.8602927643525331</v>
      </c>
      <c r="BE14" s="4">
        <f t="shared" si="2"/>
        <v>4.0486776908231437E-2</v>
      </c>
      <c r="BF14" s="3">
        <f t="shared" si="3"/>
        <v>0.27709913451380647</v>
      </c>
      <c r="BG14" s="381" t="s">
        <v>103</v>
      </c>
      <c r="BH14" s="378" t="s">
        <v>104</v>
      </c>
      <c r="BI14" s="378"/>
      <c r="BJ14" s="378"/>
      <c r="BK14" s="378"/>
      <c r="BL14" s="378"/>
      <c r="BN14" s="392"/>
      <c r="BO14" s="158">
        <f t="shared" si="37"/>
        <v>40678</v>
      </c>
      <c r="BP14" s="373">
        <f>IF($AZ$32="d",'Profils de colonie'!I40,IF($AZ$32="n",'Profils de colonie'!I68,IF($AZ$32="p",'Profils de colonie'!I96,IF($AZ$32="a",'Profils de colonie'!I124,IF($AZ$32="b",'Profils de colonie'!I152,IF($AZ$32="c",'Profils de colonie'!I180,IF($AZ$32="r",'Profils de colonie'!I208,IF($AZ$32="s",'Profils de colonie'!I236,IF($AZ$32="f",'Profils de colonie'!I264,"erreur")))))))))</f>
        <v>15</v>
      </c>
      <c r="BQ14" s="141">
        <v>1800</v>
      </c>
      <c r="BR14">
        <f t="shared" si="38"/>
        <v>27000</v>
      </c>
      <c r="BS14" s="68">
        <f>IF($AZ$32="d",'Profils de colonie'!G40,IF($AZ$32="n",'Profils de colonie'!G68,IF($AZ$32="p",'Profils de colonie'!G96,IF($AZ$32="a",'Profils de colonie'!G124,IF($AZ$32="b",'Profils de colonie'!G152,IF($AZ$32="c",'Profils de colonie'!G180,IF($AZ$32="r",'Profils de colonie'!G208,IF($AZ$32="s",'Profils de colonie'!G236,IF($AZ$32="f",'Profils de colonie'!G264,"erreur")))))))))</f>
        <v>6.5</v>
      </c>
      <c r="BT14" s="13">
        <f t="shared" si="4"/>
        <v>29250</v>
      </c>
      <c r="BU14" s="17">
        <f t="shared" si="5"/>
        <v>1.0833333333333333</v>
      </c>
      <c r="BV14">
        <f t="shared" si="39"/>
        <v>17550</v>
      </c>
      <c r="BW14" s="14">
        <f t="shared" si="40"/>
        <v>710.54293473946166</v>
      </c>
      <c r="BX14" s="14">
        <f t="shared" si="6"/>
        <v>1462.5</v>
      </c>
      <c r="BY14" s="89">
        <f t="shared" si="41"/>
        <v>4.5997864616323181</v>
      </c>
      <c r="BZ14" s="21">
        <f t="shared" si="7"/>
        <v>16.59978646163232</v>
      </c>
      <c r="CA14" s="26">
        <f t="shared" si="8"/>
        <v>0.27709913451380647</v>
      </c>
      <c r="CB14" s="345">
        <f t="shared" si="9"/>
        <v>0.72290086548619348</v>
      </c>
      <c r="CC14" s="343">
        <f t="shared" si="42"/>
        <v>0.65</v>
      </c>
      <c r="CD14" s="343"/>
      <c r="CE14" s="22">
        <f t="shared" si="10"/>
        <v>863.21112435402051</v>
      </c>
      <c r="CF14" s="5">
        <f t="shared" si="11"/>
        <v>17550</v>
      </c>
      <c r="CG14" s="67">
        <f>IF($AZ$32="d",'Profils de colonie'!K40,IF($AZ$32="n",'Profils de colonie'!K68,IF($AZ$32="p",'Profils de colonie'!K96,IF($AZ$32="a",'Profils de colonie'!K124,IF($AZ$32="b",'Profils de colonie'!K152,IF($AZ$32="c",'Profils de colonie'!K180,IF($AZ$32="r",'Profils de colonie'!K208,IF($AZ$32="s",'Profils de colonie'!K208,IF($AZ$32="f",'Profils de colonie'!K264,"erreur")))))))))</f>
        <v>0.06</v>
      </c>
      <c r="CH14" s="87">
        <f t="shared" si="43"/>
        <v>3.8399999999999997E-2</v>
      </c>
      <c r="CI14" s="63">
        <f t="shared" si="44"/>
        <v>0.19199999999999998</v>
      </c>
      <c r="CJ14" s="84">
        <f t="shared" si="45"/>
        <v>0.13879696617334913</v>
      </c>
      <c r="CK14" s="60">
        <f t="shared" si="12"/>
        <v>165.73653587597192</v>
      </c>
      <c r="CL14" s="61">
        <f t="shared" si="46"/>
        <v>0.24592909525755569</v>
      </c>
      <c r="CM14" s="266">
        <f t="shared" si="13"/>
        <v>0.21802233111495628</v>
      </c>
      <c r="CN14" s="267">
        <f t="shared" si="47"/>
        <v>1.1279995677501726</v>
      </c>
      <c r="CO14" s="61">
        <f t="shared" si="14"/>
        <v>19.59978646163232</v>
      </c>
      <c r="CP14" s="265">
        <v>1</v>
      </c>
      <c r="CQ14" s="71">
        <f t="shared" si="15"/>
        <v>4.2749999999999995</v>
      </c>
      <c r="CR14" s="65">
        <f t="shared" si="48"/>
        <v>9.8493837450082944E-2</v>
      </c>
      <c r="CS14" s="85">
        <f t="shared" si="49"/>
        <v>0.58410389931284434</v>
      </c>
      <c r="CT14" s="59">
        <f t="shared" si="50"/>
        <v>16876.080000000002</v>
      </c>
      <c r="CU14" s="59">
        <f t="shared" si="16"/>
        <v>697.47458847804864</v>
      </c>
      <c r="CV14" s="62">
        <f t="shared" si="17"/>
        <v>4.1329182397692392E-2</v>
      </c>
      <c r="CW14" s="263">
        <f t="shared" si="18"/>
        <v>4.0486776908231437E-2</v>
      </c>
      <c r="CX14" s="265">
        <f t="shared" si="51"/>
        <v>1.0207817162045736</v>
      </c>
      <c r="CY14" s="64">
        <f t="shared" si="19"/>
        <v>0.80800000000000005</v>
      </c>
      <c r="CZ14" s="62">
        <f t="shared" si="20"/>
        <v>16.59978646163232</v>
      </c>
      <c r="DA14" s="264">
        <v>1</v>
      </c>
      <c r="DB14" s="70">
        <f t="shared" si="52"/>
        <v>2.2586249999999999</v>
      </c>
      <c r="DC14" s="66">
        <f t="shared" si="21"/>
        <v>6.518049768398862E-2</v>
      </c>
      <c r="DD14" s="91">
        <f t="shared" si="22"/>
        <v>5.1742828681212084E-2</v>
      </c>
      <c r="DE14" s="23">
        <f t="shared" si="23"/>
        <v>-5.0125418235442863E-3</v>
      </c>
      <c r="DF14" s="28">
        <f t="shared" si="24"/>
        <v>4.6730286857667801E-2</v>
      </c>
      <c r="DG14" s="28"/>
      <c r="DH14" s="270">
        <f t="shared" si="69"/>
        <v>1194.0933612985234</v>
      </c>
      <c r="DI14" s="178">
        <f t="shared" si="25"/>
        <v>835.86535290896632</v>
      </c>
      <c r="DJ14" s="178">
        <f t="shared" ref="DJ14:DJ29" si="70">DI14*(1-EN13)</f>
        <v>748.60185651814572</v>
      </c>
      <c r="DK14" s="116">
        <f t="shared" si="53"/>
        <v>895.79585221562752</v>
      </c>
      <c r="DL14" s="13">
        <f t="shared" si="54"/>
        <v>2089.8892135141509</v>
      </c>
      <c r="DM14" s="199">
        <f t="shared" si="55"/>
        <v>153.39612717207206</v>
      </c>
      <c r="DN14" s="107">
        <f t="shared" si="26"/>
        <v>1936.4930863420789</v>
      </c>
      <c r="DO14" s="182">
        <f>'Immigration de varroas'!E21</f>
        <v>0</v>
      </c>
      <c r="DP14" s="109">
        <f t="shared" si="56"/>
        <v>-99.103825551502823</v>
      </c>
      <c r="DQ14" s="82">
        <f t="shared" si="64"/>
        <v>-99.103825551502823</v>
      </c>
      <c r="DR14" s="198">
        <f t="shared" si="27"/>
        <v>1837.3892607905761</v>
      </c>
      <c r="DS14" s="278">
        <f>EV$33</f>
        <v>0</v>
      </c>
      <c r="DT14" s="107">
        <f t="shared" si="57"/>
        <v>0</v>
      </c>
      <c r="DU14" s="79">
        <f t="shared" si="28"/>
        <v>1837.3892607905761</v>
      </c>
      <c r="DV14" s="23">
        <f t="shared" si="29"/>
        <v>2.8336995951548351E-2</v>
      </c>
      <c r="DW14" s="158">
        <f t="shared" si="30"/>
        <v>40678</v>
      </c>
      <c r="DX14" s="74">
        <f t="shared" si="31"/>
        <v>330.88223694450284</v>
      </c>
      <c r="DY14" s="23">
        <f t="shared" si="32"/>
        <v>1.2254897664611216E-2</v>
      </c>
      <c r="DZ14" s="114">
        <f t="shared" si="33"/>
        <v>3.8602927643525331</v>
      </c>
      <c r="EA14" s="179" t="str">
        <f t="shared" si="66"/>
        <v/>
      </c>
      <c r="EB14" s="179" t="str">
        <f t="shared" si="67"/>
        <v/>
      </c>
      <c r="EC14" s="179"/>
      <c r="ED14">
        <f t="shared" si="68"/>
        <v>0</v>
      </c>
      <c r="EE14" s="13">
        <f t="shared" si="58"/>
        <v>18478.125</v>
      </c>
      <c r="EF14" s="14">
        <f t="shared" si="59"/>
        <v>5000</v>
      </c>
      <c r="EG14" s="13">
        <f t="shared" si="60"/>
        <v>13478.125</v>
      </c>
      <c r="EH14" s="13">
        <f t="shared" si="65"/>
        <v>886.23287671232879</v>
      </c>
      <c r="EI14" s="17">
        <f t="shared" si="61"/>
        <v>0.6</v>
      </c>
      <c r="EJ14" s="197">
        <f t="shared" si="62"/>
        <v>99.103825551502823</v>
      </c>
      <c r="EL14" s="13">
        <f t="shared" si="63"/>
        <v>895.79585221562752</v>
      </c>
      <c r="EM14" s="131">
        <f>EV$58</f>
        <v>168.50756739275889</v>
      </c>
      <c r="EN14" s="31">
        <f>EU$60</f>
        <v>8.8290146463873162E-2</v>
      </c>
      <c r="ER14" s="2">
        <v>40678</v>
      </c>
      <c r="ES14" s="193">
        <v>43054</v>
      </c>
      <c r="EU14" s="17">
        <v>0.57999999999999996</v>
      </c>
      <c r="EV14">
        <v>10.08</v>
      </c>
    </row>
    <row r="15" spans="1:171" ht="16.44">
      <c r="B15" s="284"/>
      <c r="AE15" s="274"/>
      <c r="AF15" s="282"/>
      <c r="AZ15" s="288">
        <f t="shared" si="34"/>
        <v>40695</v>
      </c>
      <c r="BA15" s="48">
        <f t="shared" si="0"/>
        <v>1837.3892607905761</v>
      </c>
      <c r="BB15" s="222">
        <f t="shared" si="35"/>
        <v>2.7183705744244335E-2</v>
      </c>
      <c r="BC15" s="173">
        <f t="shared" si="1"/>
        <v>0</v>
      </c>
      <c r="BD15" s="99">
        <f t="shared" si="36"/>
        <v>5.4576465831841325</v>
      </c>
      <c r="BE15" s="4">
        <f t="shared" si="2"/>
        <v>5.8403354093078175E-2</v>
      </c>
      <c r="BF15" s="3">
        <f t="shared" si="3"/>
        <v>0.28666011126355684</v>
      </c>
      <c r="BG15" s="380"/>
      <c r="BH15" s="378"/>
      <c r="BI15" s="378"/>
      <c r="BJ15" s="378"/>
      <c r="BK15" s="378"/>
      <c r="BL15" s="378"/>
      <c r="BN15" s="392"/>
      <c r="BO15" s="158">
        <f t="shared" si="37"/>
        <v>40695</v>
      </c>
      <c r="BP15" s="373">
        <f>IF($AZ$32="d",'Profils de colonie'!I41,IF($AZ$32="n",'Profils de colonie'!I69,IF($AZ$32="p",'Profils de colonie'!I97,IF($AZ$32="a",'Profils de colonie'!I125,IF($AZ$32="b",'Profils de colonie'!I153,IF($AZ$32="c",'Profils de colonie'!I181,IF($AZ$32="r",'Profils de colonie'!I209,IF($AZ$32="s",'Profils de colonie'!I237,IF($AZ$32="f",'Profils de colonie'!I265,"erreur")))))))))</f>
        <v>19</v>
      </c>
      <c r="BQ15" s="141">
        <v>1600</v>
      </c>
      <c r="BR15">
        <f t="shared" si="38"/>
        <v>30400</v>
      </c>
      <c r="BS15" s="68">
        <f>IF($AZ$32="d",'Profils de colonie'!G41,IF($AZ$32="n",'Profils de colonie'!G69,IF($AZ$32="p",'Profils de colonie'!G97,IF($AZ$32="a",'Profils de colonie'!G125,IF($AZ$32="b",'Profils de colonie'!G153,IF($AZ$32="c",'Profils de colonie'!G181,IF($AZ$32="r",'Profils de colonie'!G209,IF($AZ$32="s",'Profils de colonie'!G237,IF($AZ$32="f",'Profils de colonie'!G265,"erreur")))))))))</f>
        <v>7</v>
      </c>
      <c r="BT15" s="13">
        <f t="shared" si="4"/>
        <v>31500</v>
      </c>
      <c r="BU15" s="17">
        <f t="shared" si="5"/>
        <v>1.0361842105263157</v>
      </c>
      <c r="BV15">
        <f t="shared" si="39"/>
        <v>18900</v>
      </c>
      <c r="BW15" s="14">
        <f t="shared" si="40"/>
        <v>1103.8233923591774</v>
      </c>
      <c r="BX15" s="14">
        <f t="shared" si="6"/>
        <v>1575</v>
      </c>
      <c r="BY15" s="89">
        <f t="shared" si="41"/>
        <v>4.8222753129029439</v>
      </c>
      <c r="BZ15" s="21">
        <f t="shared" si="7"/>
        <v>16.822275312902946</v>
      </c>
      <c r="CA15" s="26">
        <f t="shared" si="8"/>
        <v>0.28666011126355684</v>
      </c>
      <c r="CB15" s="345">
        <f t="shared" si="9"/>
        <v>0.71333988873644316</v>
      </c>
      <c r="CC15" s="343">
        <f t="shared" si="42"/>
        <v>0.62171052631578949</v>
      </c>
      <c r="CD15" s="343"/>
      <c r="CE15" s="22">
        <f t="shared" si="10"/>
        <v>1310.6830508578851</v>
      </c>
      <c r="CF15" s="5">
        <f t="shared" si="11"/>
        <v>18900</v>
      </c>
      <c r="CG15" s="67">
        <f>IF($AZ$32="d",'Profils de colonie'!K41,IF($AZ$32="n",'Profils de colonie'!K69,IF($AZ$32="p",'Profils de colonie'!K97,IF($AZ$32="a",'Profils de colonie'!K125,IF($AZ$32="b",'Profils de colonie'!K153,IF($AZ$32="c",'Profils de colonie'!K181,IF($AZ$32="r",'Profils de colonie'!K209,IF($AZ$32="s",'Profils de colonie'!K209,IF($AZ$32="f",'Profils de colonie'!K265,"erreur")))))))))</f>
        <v>0.05</v>
      </c>
      <c r="CH15" s="87">
        <f t="shared" si="43"/>
        <v>3.2000000000000001E-2</v>
      </c>
      <c r="CI15" s="63">
        <f t="shared" si="44"/>
        <v>0.16</v>
      </c>
      <c r="CJ15" s="84">
        <f t="shared" si="45"/>
        <v>0.11413438219783091</v>
      </c>
      <c r="CK15" s="60">
        <f t="shared" si="12"/>
        <v>209.70928813726161</v>
      </c>
      <c r="CL15" s="61">
        <f t="shared" si="46"/>
        <v>0.34674154784600131</v>
      </c>
      <c r="CM15" s="266">
        <f t="shared" si="13"/>
        <v>0.29301197277425062</v>
      </c>
      <c r="CN15" s="267">
        <f t="shared" si="47"/>
        <v>1.1833698963323465</v>
      </c>
      <c r="CO15" s="61">
        <f t="shared" si="14"/>
        <v>19.822275312902946</v>
      </c>
      <c r="CP15" s="265">
        <v>1</v>
      </c>
      <c r="CQ15" s="71">
        <f t="shared" si="15"/>
        <v>4.2749999999999995</v>
      </c>
      <c r="CR15" s="65">
        <f t="shared" si="48"/>
        <v>9.8493837450082944E-2</v>
      </c>
      <c r="CS15" s="85">
        <f t="shared" si="49"/>
        <v>0.59920550653861226</v>
      </c>
      <c r="CT15" s="59">
        <f t="shared" si="50"/>
        <v>18295.2</v>
      </c>
      <c r="CU15" s="59">
        <f t="shared" si="16"/>
        <v>1100.9737627206234</v>
      </c>
      <c r="CV15" s="62">
        <f t="shared" si="17"/>
        <v>6.0178285163355598E-2</v>
      </c>
      <c r="CW15" s="263">
        <f t="shared" si="18"/>
        <v>5.8403354093078175E-2</v>
      </c>
      <c r="CX15" s="265">
        <f t="shared" si="51"/>
        <v>1.0303732675041717</v>
      </c>
      <c r="CY15" s="64">
        <f t="shared" si="19"/>
        <v>0.84</v>
      </c>
      <c r="CZ15" s="62">
        <f t="shared" si="20"/>
        <v>16.822275312902946</v>
      </c>
      <c r="DA15" s="264">
        <v>1</v>
      </c>
      <c r="DB15" s="70">
        <f t="shared" si="52"/>
        <v>2.2586249999999999</v>
      </c>
      <c r="DC15" s="66">
        <f t="shared" si="21"/>
        <v>6.518049768398862E-2</v>
      </c>
      <c r="DD15" s="91">
        <f t="shared" si="22"/>
        <v>5.0298046418832044E-2</v>
      </c>
      <c r="DE15" s="23">
        <f t="shared" si="23"/>
        <v>-5.0125418235442863E-3</v>
      </c>
      <c r="DF15" s="28">
        <f t="shared" si="24"/>
        <v>4.5285504595287761E-2</v>
      </c>
      <c r="DG15" s="28"/>
      <c r="DH15" s="270">
        <f t="shared" si="69"/>
        <v>1837.3892607905761</v>
      </c>
      <c r="DI15" s="178">
        <f t="shared" si="25"/>
        <v>1286.1724825534031</v>
      </c>
      <c r="DJ15" s="178">
        <f t="shared" si="70"/>
        <v>1172.61612569096</v>
      </c>
      <c r="DK15" s="116">
        <f t="shared" si="53"/>
        <v>1347.2019670262357</v>
      </c>
      <c r="DL15" s="13">
        <f t="shared" si="54"/>
        <v>3184.5912278168116</v>
      </c>
      <c r="DM15" s="199">
        <f t="shared" si="55"/>
        <v>233.74634301874448</v>
      </c>
      <c r="DN15" s="107">
        <f t="shared" si="26"/>
        <v>2950.8448847980671</v>
      </c>
      <c r="DO15" s="182">
        <f>'Immigration de varroas'!E22</f>
        <v>0</v>
      </c>
      <c r="DP15" s="109">
        <f t="shared" si="56"/>
        <v>-172.75238165313942</v>
      </c>
      <c r="DQ15" s="82">
        <f t="shared" si="64"/>
        <v>-172.75238165313942</v>
      </c>
      <c r="DR15" s="198">
        <f t="shared" si="27"/>
        <v>2778.0925031449278</v>
      </c>
      <c r="DS15" s="278">
        <f>EW$33</f>
        <v>0</v>
      </c>
      <c r="DT15" s="107">
        <f t="shared" si="57"/>
        <v>0</v>
      </c>
      <c r="DU15" s="79">
        <f t="shared" si="28"/>
        <v>2778.0925031449278</v>
      </c>
      <c r="DV15" s="23">
        <f t="shared" si="29"/>
        <v>2.7183705744244335E-2</v>
      </c>
      <c r="DW15" s="158">
        <f t="shared" si="30"/>
        <v>40695</v>
      </c>
      <c r="DX15" s="74">
        <f t="shared" si="31"/>
        <v>526.70620993269097</v>
      </c>
      <c r="DY15" s="23">
        <f t="shared" si="32"/>
        <v>1.7325862168838517E-2</v>
      </c>
      <c r="DZ15" s="114">
        <f t="shared" si="33"/>
        <v>5.4576465831841325</v>
      </c>
      <c r="EA15" s="179" t="str">
        <f t="shared" si="66"/>
        <v/>
      </c>
      <c r="EB15" s="179" t="str">
        <f t="shared" si="67"/>
        <v/>
      </c>
      <c r="EC15" s="179"/>
      <c r="ED15">
        <f t="shared" si="68"/>
        <v>0</v>
      </c>
      <c r="EE15" s="13">
        <f t="shared" si="58"/>
        <v>20017.96875</v>
      </c>
      <c r="EF15" s="14">
        <f t="shared" si="59"/>
        <v>3400</v>
      </c>
      <c r="EG15" s="13">
        <f t="shared" si="60"/>
        <v>16617.96875</v>
      </c>
      <c r="EH15" s="13">
        <f t="shared" si="65"/>
        <v>1092.6883561643835</v>
      </c>
      <c r="EI15" s="17">
        <f t="shared" si="61"/>
        <v>0.6</v>
      </c>
      <c r="EJ15" s="197">
        <f t="shared" si="62"/>
        <v>172.75238165313942</v>
      </c>
      <c r="EL15" s="13">
        <f t="shared" si="63"/>
        <v>1347.2019670262357</v>
      </c>
      <c r="EM15" s="131">
        <f>EW$58</f>
        <v>248.05072430079477</v>
      </c>
      <c r="EN15" s="31">
        <f>EV$60</f>
        <v>7.629959734431313E-2</v>
      </c>
      <c r="ER15" s="2">
        <v>40695</v>
      </c>
      <c r="ES15" s="193">
        <v>43070</v>
      </c>
      <c r="EU15" s="17">
        <v>0.56999999999999995</v>
      </c>
    </row>
    <row r="16" spans="1:171" ht="16" customHeight="1">
      <c r="B16" s="284"/>
      <c r="AE16" s="274"/>
      <c r="AF16" s="282"/>
      <c r="AZ16" s="288">
        <f t="shared" si="34"/>
        <v>40709</v>
      </c>
      <c r="BA16" s="48">
        <f t="shared" si="0"/>
        <v>2778.0925031449278</v>
      </c>
      <c r="BB16" s="222">
        <f t="shared" si="35"/>
        <v>2.5095745664282021E-2</v>
      </c>
      <c r="BC16" s="173">
        <f t="shared" si="1"/>
        <v>0</v>
      </c>
      <c r="BD16" s="99">
        <f t="shared" si="36"/>
        <v>8.6565878488850068</v>
      </c>
      <c r="BE16" s="4">
        <f t="shared" si="2"/>
        <v>9.1092931931897603E-2</v>
      </c>
      <c r="BF16" s="3">
        <f t="shared" si="3"/>
        <v>0.30467737198955802</v>
      </c>
      <c r="BG16" s="381" t="s">
        <v>105</v>
      </c>
      <c r="BH16" s="378" t="s">
        <v>106</v>
      </c>
      <c r="BI16" s="378"/>
      <c r="BJ16" s="378"/>
      <c r="BK16" s="378"/>
      <c r="BL16" s="378"/>
      <c r="BN16" s="392"/>
      <c r="BO16" s="158">
        <f t="shared" si="37"/>
        <v>40709</v>
      </c>
      <c r="BP16" s="373">
        <f>IF($AZ$32="d",'Profils de colonie'!I42,IF($AZ$32="n",'Profils de colonie'!I70,IF($AZ$32="p",'Profils de colonie'!I98,IF($AZ$32="a",'Profils de colonie'!I126,IF($AZ$32="b",'Profils de colonie'!I154,IF($AZ$32="c",'Profils de colonie'!I182,IF($AZ$32="r",'Profils de colonie'!I210,IF($AZ$32="s",'Profils de colonie'!I238,IF($AZ$32="f",'Profils de colonie'!I266,"erreur")))))))))</f>
        <v>22</v>
      </c>
      <c r="BQ16" s="141">
        <v>1400</v>
      </c>
      <c r="BR16">
        <f t="shared" si="38"/>
        <v>30800</v>
      </c>
      <c r="BS16" s="68">
        <f>IF($AZ$32="d",'Profils de colonie'!G42,IF($AZ$32="n",'Profils de colonie'!G70,IF($AZ$32="p",'Profils de colonie'!G98,IF($AZ$32="a",'Profils de colonie'!G126,IF($AZ$32="b",'Profils de colonie'!G154,IF($AZ$32="c",'Profils de colonie'!G182,IF($AZ$32="r",'Profils de colonie'!G210,IF($AZ$32="s",'Profils de colonie'!G238,IF($AZ$32="f",'Profils de colonie'!G266,"erreur")))))))))</f>
        <v>6.5</v>
      </c>
      <c r="BT16" s="13">
        <f t="shared" si="4"/>
        <v>29250</v>
      </c>
      <c r="BU16" s="17">
        <f t="shared" si="5"/>
        <v>0.94967532467532467</v>
      </c>
      <c r="BV16">
        <f t="shared" si="39"/>
        <v>17550</v>
      </c>
      <c r="BW16" s="14">
        <f t="shared" si="40"/>
        <v>1598.6809554048029</v>
      </c>
      <c r="BX16" s="14">
        <f t="shared" si="6"/>
        <v>1462.5</v>
      </c>
      <c r="BY16" s="89">
        <f t="shared" si="41"/>
        <v>5.2581755815083167</v>
      </c>
      <c r="BZ16" s="21">
        <f t="shared" si="7"/>
        <v>17.258175581508318</v>
      </c>
      <c r="CA16" s="26">
        <f t="shared" si="8"/>
        <v>0.30467737198955802</v>
      </c>
      <c r="CB16" s="345">
        <f t="shared" si="9"/>
        <v>0.69532262801044198</v>
      </c>
      <c r="CC16" s="343">
        <f t="shared" si="42"/>
        <v>0.56980519480519476</v>
      </c>
      <c r="CD16" s="343"/>
      <c r="CE16" s="22">
        <f t="shared" si="10"/>
        <v>1931.6705801428382</v>
      </c>
      <c r="CF16" s="5">
        <f t="shared" si="11"/>
        <v>17550</v>
      </c>
      <c r="CG16" s="67">
        <f>IF($AZ$32="d",'Profils de colonie'!K42,IF($AZ$32="n",'Profils de colonie'!K70,IF($AZ$32="p",'Profils de colonie'!K98,IF($AZ$32="a",'Profils de colonie'!K126,IF($AZ$32="b",'Profils de colonie'!K154,IF($AZ$32="c",'Profils de colonie'!K182,IF($AZ$32="r",'Profils de colonie'!K210,IF($AZ$32="s",'Profils de colonie'!K210,IF($AZ$32="f",'Profils de colonie'!K266,"erreur")))))))))</f>
        <v>0.05</v>
      </c>
      <c r="CH16" s="87">
        <f t="shared" si="43"/>
        <v>3.2000000000000001E-2</v>
      </c>
      <c r="CI16" s="63">
        <f t="shared" si="44"/>
        <v>0.16</v>
      </c>
      <c r="CJ16" s="84">
        <f t="shared" si="45"/>
        <v>0.11125162048167071</v>
      </c>
      <c r="CK16" s="60">
        <f t="shared" si="12"/>
        <v>309.06729282285409</v>
      </c>
      <c r="CL16" s="61">
        <f t="shared" si="46"/>
        <v>0.55033349861619318</v>
      </c>
      <c r="CM16" s="266">
        <f t="shared" si="13"/>
        <v>0.42324256950189276</v>
      </c>
      <c r="CN16" s="267">
        <f t="shared" si="47"/>
        <v>1.3002791738644619</v>
      </c>
      <c r="CO16" s="61">
        <f t="shared" si="14"/>
        <v>20.258175581508318</v>
      </c>
      <c r="CP16" s="265">
        <v>1</v>
      </c>
      <c r="CQ16" s="71">
        <f t="shared" si="15"/>
        <v>4.2749999999999995</v>
      </c>
      <c r="CR16" s="65">
        <f t="shared" si="48"/>
        <v>9.8493837450082944E-2</v>
      </c>
      <c r="CS16" s="85">
        <f t="shared" si="49"/>
        <v>0.58407100752877128</v>
      </c>
      <c r="CT16" s="59">
        <f t="shared" si="50"/>
        <v>16988.399999999998</v>
      </c>
      <c r="CU16" s="59">
        <f t="shared" si="16"/>
        <v>1622.603287319984</v>
      </c>
      <c r="CV16" s="62">
        <f t="shared" si="17"/>
        <v>9.5512425379669905E-2</v>
      </c>
      <c r="CW16" s="263">
        <f t="shared" si="18"/>
        <v>9.1092931931897603E-2</v>
      </c>
      <c r="CX16" s="265">
        <f t="shared" si="51"/>
        <v>1.048504805469102</v>
      </c>
      <c r="CY16" s="64">
        <f t="shared" si="19"/>
        <v>0.84</v>
      </c>
      <c r="CZ16" s="62">
        <f t="shared" si="20"/>
        <v>17.258175581508318</v>
      </c>
      <c r="DA16" s="264">
        <v>1</v>
      </c>
      <c r="DB16" s="70">
        <f t="shared" si="52"/>
        <v>2.2586249999999999</v>
      </c>
      <c r="DC16" s="66">
        <f t="shared" si="21"/>
        <v>6.518049768398862E-2</v>
      </c>
      <c r="DD16" s="91">
        <f t="shared" si="22"/>
        <v>4.9027637977293967E-2</v>
      </c>
      <c r="DE16" s="23">
        <f t="shared" si="23"/>
        <v>-5.0125418235442863E-3</v>
      </c>
      <c r="DF16" s="28">
        <f t="shared" si="24"/>
        <v>4.4015096153749683E-2</v>
      </c>
      <c r="DG16" s="28"/>
      <c r="DH16" s="270">
        <f t="shared" si="69"/>
        <v>2778.0925031449278</v>
      </c>
      <c r="DI16" s="178">
        <f t="shared" si="25"/>
        <v>1944.6647522014493</v>
      </c>
      <c r="DJ16" s="178">
        <f t="shared" si="70"/>
        <v>1796.2876146388003</v>
      </c>
      <c r="DK16" s="116">
        <f>DJ16*EXP(DD16*$BP$37)-DJ16</f>
        <v>1989.8665050383838</v>
      </c>
      <c r="DL16" s="13">
        <f t="shared" si="54"/>
        <v>4767.9590081833121</v>
      </c>
      <c r="DM16" s="199">
        <f t="shared" si="55"/>
        <v>349.96421898397512</v>
      </c>
      <c r="DN16" s="107">
        <f t="shared" si="26"/>
        <v>4417.994789199337</v>
      </c>
      <c r="DO16" s="182">
        <f>'Immigration de varroas'!E23</f>
        <v>0</v>
      </c>
      <c r="DP16" s="109">
        <f t="shared" si="56"/>
        <v>-348.86564304092821</v>
      </c>
      <c r="DQ16" s="82">
        <f t="shared" si="64"/>
        <v>-348.86564304092821</v>
      </c>
      <c r="DR16" s="198">
        <f t="shared" si="27"/>
        <v>4069.1291461584087</v>
      </c>
      <c r="DS16" s="278">
        <f>EX$33</f>
        <v>0</v>
      </c>
      <c r="DT16" s="107">
        <f t="shared" si="57"/>
        <v>0</v>
      </c>
      <c r="DU16" s="79">
        <f t="shared" si="28"/>
        <v>4069.1291461584087</v>
      </c>
      <c r="DV16" s="23">
        <f t="shared" si="29"/>
        <v>2.5095745664282021E-2</v>
      </c>
      <c r="DW16" s="158">
        <f t="shared" si="30"/>
        <v>40709</v>
      </c>
      <c r="DX16" s="74">
        <f t="shared" si="31"/>
        <v>846.42192300208956</v>
      </c>
      <c r="DY16" s="23">
        <f t="shared" si="32"/>
        <v>2.7481231266301608E-2</v>
      </c>
      <c r="DZ16" s="114">
        <f t="shared" si="33"/>
        <v>8.6565878488850068</v>
      </c>
      <c r="EA16" s="179" t="str">
        <f t="shared" si="66"/>
        <v/>
      </c>
      <c r="EB16" s="179" t="str">
        <f t="shared" si="67"/>
        <v/>
      </c>
      <c r="EC16" s="179"/>
      <c r="ED16">
        <f t="shared" si="68"/>
        <v>0</v>
      </c>
      <c r="EE16" s="13">
        <f t="shared" si="58"/>
        <v>21557.8125</v>
      </c>
      <c r="EF16" s="14">
        <f t="shared" si="59"/>
        <v>400</v>
      </c>
      <c r="EG16" s="13">
        <f t="shared" si="60"/>
        <v>21157.8125</v>
      </c>
      <c r="EH16" s="13">
        <f t="shared" si="65"/>
        <v>1391.1986301369861</v>
      </c>
      <c r="EI16" s="17">
        <f t="shared" si="61"/>
        <v>0.6</v>
      </c>
      <c r="EJ16" s="197">
        <f t="shared" si="62"/>
        <v>348.86564304092821</v>
      </c>
      <c r="EL16" s="13">
        <f t="shared" si="63"/>
        <v>1989.8665050383838</v>
      </c>
      <c r="EM16" s="131">
        <f>EX$58</f>
        <v>394.50678702129744</v>
      </c>
      <c r="EN16" s="31">
        <f>EW$60</f>
        <v>7.3047686441068155E-2</v>
      </c>
      <c r="ER16" s="2">
        <v>40709</v>
      </c>
      <c r="ES16" s="193">
        <v>43084</v>
      </c>
      <c r="EU16" s="17">
        <v>0.55000000000000004</v>
      </c>
      <c r="EV16">
        <v>5.9849999999999994</v>
      </c>
    </row>
    <row r="17" spans="2:166" ht="16.44">
      <c r="B17" s="284"/>
      <c r="AE17" s="274"/>
      <c r="AF17" s="282"/>
      <c r="AZ17" s="288">
        <f t="shared" si="34"/>
        <v>40725</v>
      </c>
      <c r="BA17" s="48">
        <f t="shared" si="0"/>
        <v>4069.1291461584087</v>
      </c>
      <c r="BB17" s="222">
        <f t="shared" si="35"/>
        <v>2.4348736760312552E-2</v>
      </c>
      <c r="BC17" s="173">
        <f t="shared" si="1"/>
        <v>0</v>
      </c>
      <c r="BD17" s="99">
        <f t="shared" si="36"/>
        <v>13.675257938388343</v>
      </c>
      <c r="BE17" s="4">
        <f t="shared" si="2"/>
        <v>0.14014610935269756</v>
      </c>
      <c r="BF17" s="3">
        <f t="shared" si="3"/>
        <v>0.30726704715294467</v>
      </c>
      <c r="BG17" s="380"/>
      <c r="BH17" s="378"/>
      <c r="BI17" s="378"/>
      <c r="BJ17" s="378"/>
      <c r="BK17" s="378"/>
      <c r="BL17" s="378"/>
      <c r="BN17" s="392"/>
      <c r="BO17" s="158">
        <f t="shared" si="37"/>
        <v>40725</v>
      </c>
      <c r="BP17" s="373">
        <f>IF($AZ$32="d",'Profils de colonie'!I43,IF($AZ$32="n",'Profils de colonie'!I71,IF($AZ$32="p",'Profils de colonie'!I99,IF($AZ$32="a",'Profils de colonie'!I127,IF($AZ$32="b",'Profils de colonie'!I155,IF($AZ$32="c",'Profils de colonie'!I183,IF($AZ$32="r",'Profils de colonie'!I211,IF($AZ$32="s",'Profils de colonie'!I239,IF($AZ$32="f",'Profils de colonie'!I267,"erreur")))))))))</f>
        <v>24</v>
      </c>
      <c r="BQ17" s="141">
        <v>1200</v>
      </c>
      <c r="BR17">
        <f t="shared" si="38"/>
        <v>28800</v>
      </c>
      <c r="BS17" s="68">
        <f>IF($AZ$32="d",'Profils de colonie'!G43,IF($AZ$32="n",'Profils de colonie'!G71,IF($AZ$32="p",'Profils de colonie'!G99,IF($AZ$32="a",'Profils de colonie'!G127,IF($AZ$32="b",'Profils de colonie'!G155,IF($AZ$32="c",'Profils de colonie'!G183,IF($AZ$32="r",'Profils de colonie'!G211,IF($AZ$32="s",'Profils de colonie'!G239,IF($AZ$32="f",'Profils de colonie'!G267,"erreur")))))))))</f>
        <v>6</v>
      </c>
      <c r="BT17" s="13">
        <f t="shared" si="4"/>
        <v>27000</v>
      </c>
      <c r="BU17" s="17">
        <f t="shared" si="5"/>
        <v>0.9375</v>
      </c>
      <c r="BV17">
        <f t="shared" si="39"/>
        <v>16200</v>
      </c>
      <c r="BW17" s="14">
        <f t="shared" si="40"/>
        <v>2270.3669715137003</v>
      </c>
      <c r="BX17" s="14">
        <f t="shared" si="6"/>
        <v>1350</v>
      </c>
      <c r="BY17" s="89">
        <f t="shared" si="41"/>
        <v>5.3226926056878563</v>
      </c>
      <c r="BZ17" s="21">
        <f t="shared" si="7"/>
        <v>17.322692605687855</v>
      </c>
      <c r="CA17" s="26">
        <f t="shared" si="8"/>
        <v>0.30726704715294467</v>
      </c>
      <c r="CB17" s="345">
        <f t="shared" si="9"/>
        <v>0.69273295284705538</v>
      </c>
      <c r="CC17" s="343">
        <f t="shared" si="42"/>
        <v>0.5625</v>
      </c>
      <c r="CD17" s="343"/>
      <c r="CE17" s="22">
        <f t="shared" si="10"/>
        <v>2818.8198489343317</v>
      </c>
      <c r="CF17" s="5">
        <f t="shared" si="11"/>
        <v>16200</v>
      </c>
      <c r="CG17" s="67">
        <f>IF($AZ$32="d",'Profils de colonie'!K43,IF($AZ$32="n",'Profils de colonie'!K71,IF($AZ$32="p",'Profils de colonie'!K99,IF($AZ$32="a",'Profils de colonie'!K127,IF($AZ$32="b",'Profils de colonie'!K155,IF($AZ$32="c",'Profils de colonie'!K183,IF($AZ$32="r",'Profils de colonie'!K211,IF($AZ$32="s",'Profils de colonie'!K211,IF($AZ$32="f",'Profils de colonie'!K267,"erreur")))))))))</f>
        <v>0.05</v>
      </c>
      <c r="CH17" s="87">
        <f t="shared" si="43"/>
        <v>3.2000000000000001E-2</v>
      </c>
      <c r="CI17" s="63">
        <f t="shared" si="44"/>
        <v>0.16</v>
      </c>
      <c r="CJ17" s="84">
        <f t="shared" si="45"/>
        <v>0.11083727245552887</v>
      </c>
      <c r="CK17" s="60">
        <f t="shared" si="12"/>
        <v>451.01117582949308</v>
      </c>
      <c r="CL17" s="61">
        <f t="shared" si="46"/>
        <v>0.87000612621429996</v>
      </c>
      <c r="CM17" s="266">
        <f t="shared" si="13"/>
        <v>0.58105101733147135</v>
      </c>
      <c r="CN17" s="267">
        <f t="shared" si="47"/>
        <v>1.4972973117057444</v>
      </c>
      <c r="CO17" s="61">
        <f t="shared" si="14"/>
        <v>20.322692605687855</v>
      </c>
      <c r="CP17" s="265">
        <v>1</v>
      </c>
      <c r="CQ17" s="71">
        <f t="shared" si="15"/>
        <v>4.2749999999999995</v>
      </c>
      <c r="CR17" s="65">
        <f t="shared" si="48"/>
        <v>9.8493837450082944E-2</v>
      </c>
      <c r="CS17" s="85">
        <f t="shared" si="49"/>
        <v>0.5818956803915265</v>
      </c>
      <c r="CT17" s="59">
        <f t="shared" si="50"/>
        <v>15681.6</v>
      </c>
      <c r="CU17" s="59">
        <f t="shared" si="16"/>
        <v>2367.8086731048388</v>
      </c>
      <c r="CV17" s="62">
        <f t="shared" si="17"/>
        <v>0.15099279876446528</v>
      </c>
      <c r="CW17" s="263">
        <f t="shared" si="18"/>
        <v>0.14014610935269756</v>
      </c>
      <c r="CX17" s="265">
        <f t="shared" si="51"/>
        <v>1.0773878923501248</v>
      </c>
      <c r="CY17" s="64">
        <f t="shared" si="19"/>
        <v>0.84</v>
      </c>
      <c r="CZ17" s="62">
        <f t="shared" si="20"/>
        <v>17.322692605687855</v>
      </c>
      <c r="DA17" s="264">
        <v>1</v>
      </c>
      <c r="DB17" s="70">
        <f t="shared" si="52"/>
        <v>2.2586249999999999</v>
      </c>
      <c r="DC17" s="66">
        <f t="shared" si="21"/>
        <v>6.518049768398862E-2</v>
      </c>
      <c r="DD17" s="91">
        <f t="shared" si="22"/>
        <v>4.8845038344728288E-2</v>
      </c>
      <c r="DE17" s="23">
        <f t="shared" si="23"/>
        <v>-5.0125418235442863E-3</v>
      </c>
      <c r="DF17" s="28">
        <f t="shared" si="24"/>
        <v>4.3832496521184004E-2</v>
      </c>
      <c r="DG17" s="28"/>
      <c r="DH17" s="270">
        <f t="shared" si="69"/>
        <v>4069.1291461584087</v>
      </c>
      <c r="DI17" s="178">
        <f t="shared" si="25"/>
        <v>2848.3904023108857</v>
      </c>
      <c r="DJ17" s="178">
        <f t="shared" si="70"/>
        <v>2640.3220733411322</v>
      </c>
      <c r="DK17" s="116">
        <f>DJ17*EXP(DD17*$BP$37)-DJ17</f>
        <v>2909.4259860347024</v>
      </c>
      <c r="DL17" s="13">
        <f t="shared" si="54"/>
        <v>6978.5551321931107</v>
      </c>
      <c r="DM17" s="199">
        <f t="shared" si="55"/>
        <v>512.22013282474018</v>
      </c>
      <c r="DN17" s="107">
        <f t="shared" si="26"/>
        <v>6466.3349993683705</v>
      </c>
      <c r="DO17" s="182">
        <f>'Immigration de varroas'!E24</f>
        <v>0</v>
      </c>
      <c r="DP17" s="109">
        <f t="shared" si="56"/>
        <v>-573.52647987737896</v>
      </c>
      <c r="DQ17" s="82">
        <f t="shared" si="64"/>
        <v>-573.52647987737896</v>
      </c>
      <c r="DR17" s="198">
        <f t="shared" si="27"/>
        <v>5892.8085194909918</v>
      </c>
      <c r="DS17" s="278">
        <f>EY$33</f>
        <v>0</v>
      </c>
      <c r="DT17" s="107">
        <f t="shared" si="57"/>
        <v>0</v>
      </c>
      <c r="DU17" s="79">
        <f t="shared" si="28"/>
        <v>5892.8085194909918</v>
      </c>
      <c r="DV17" s="23">
        <f t="shared" si="29"/>
        <v>2.4348736760312552E-2</v>
      </c>
      <c r="DW17" s="158">
        <f t="shared" si="30"/>
        <v>40725</v>
      </c>
      <c r="DX17" s="74">
        <f t="shared" si="31"/>
        <v>1250.3092972240772</v>
      </c>
      <c r="DY17" s="23">
        <f t="shared" si="32"/>
        <v>4.34135172647249E-2</v>
      </c>
      <c r="DZ17" s="114">
        <f t="shared" si="33"/>
        <v>13.675257938388343</v>
      </c>
      <c r="EA17" s="179" t="str">
        <f t="shared" si="66"/>
        <v/>
      </c>
      <c r="EB17" s="179" t="str">
        <f t="shared" si="67"/>
        <v/>
      </c>
      <c r="EC17" s="179"/>
      <c r="ED17">
        <f t="shared" si="68"/>
        <v>0</v>
      </c>
      <c r="EE17" s="13">
        <f t="shared" si="58"/>
        <v>20017.96875</v>
      </c>
      <c r="EF17" s="14">
        <f t="shared" si="59"/>
        <v>-2000</v>
      </c>
      <c r="EG17" s="13">
        <f t="shared" si="60"/>
        <v>22017.96875</v>
      </c>
      <c r="EH17" s="13">
        <f t="shared" si="65"/>
        <v>1447.7568493150684</v>
      </c>
      <c r="EI17" s="17">
        <f t="shared" si="61"/>
        <v>0.6</v>
      </c>
      <c r="EJ17" s="197">
        <f t="shared" si="62"/>
        <v>573.52647987737896</v>
      </c>
      <c r="EL17" s="13">
        <f t="shared" si="63"/>
        <v>2909.4259860347024</v>
      </c>
      <c r="EM17" s="131">
        <f>EY$58</f>
        <v>615.54682410803025</v>
      </c>
      <c r="EN17" s="31">
        <f>EX$60</f>
        <v>7.6757569461390743E-2</v>
      </c>
      <c r="ER17" s="2">
        <v>40725</v>
      </c>
      <c r="ES17" s="193">
        <v>43101</v>
      </c>
      <c r="EU17" s="17">
        <v>0.55000000000000004</v>
      </c>
    </row>
    <row r="18" spans="2:166" ht="16" customHeight="1">
      <c r="B18" s="284"/>
      <c r="AE18" s="274"/>
      <c r="AF18" s="274"/>
      <c r="AZ18" s="288">
        <f t="shared" si="34"/>
        <v>40739</v>
      </c>
      <c r="BA18" s="48">
        <f t="shared" si="0"/>
        <v>5892.8085194909918</v>
      </c>
      <c r="BB18" s="222">
        <f t="shared" si="35"/>
        <v>2.2453326551060034E-2</v>
      </c>
      <c r="BC18" s="173">
        <f t="shared" si="1"/>
        <v>0</v>
      </c>
      <c r="BD18" s="99">
        <f t="shared" si="36"/>
        <v>23.413380939561712</v>
      </c>
      <c r="BE18" s="4">
        <f t="shared" si="2"/>
        <v>0.22844005913056264</v>
      </c>
      <c r="BF18" s="3">
        <f t="shared" si="3"/>
        <v>0.31533433172433362</v>
      </c>
      <c r="BG18" s="379">
        <v>0.25</v>
      </c>
      <c r="BH18" s="378" t="s">
        <v>107</v>
      </c>
      <c r="BI18" s="378"/>
      <c r="BJ18" s="378"/>
      <c r="BK18" s="378"/>
      <c r="BL18" s="378"/>
      <c r="BN18" s="392"/>
      <c r="BO18" s="158">
        <f t="shared" si="37"/>
        <v>40739</v>
      </c>
      <c r="BP18" s="373">
        <f>IF($AZ$32="d",'Profils de colonie'!I44,IF($AZ$32="n",'Profils de colonie'!I72,IF($AZ$32="p",'Profils de colonie'!I100,IF($AZ$32="a",'Profils de colonie'!I128,IF($AZ$32="b",'Profils de colonie'!I156,IF($AZ$32="c",'Profils de colonie'!I184,IF($AZ$32="r",'Profils de colonie'!I212,IF($AZ$32="s",'Profils de colonie'!I240,IF($AZ$32="f",'Profils de colonie'!I268,"erreur")))))))))</f>
        <v>25</v>
      </c>
      <c r="BQ18" s="141">
        <v>1000</v>
      </c>
      <c r="BR18">
        <f t="shared" si="38"/>
        <v>25000</v>
      </c>
      <c r="BS18" s="68">
        <f>IF($AZ$32="d",'Profils de colonie'!G44,IF($AZ$32="n",'Profils de colonie'!G72,IF($AZ$32="p",'Profils de colonie'!G100,IF($AZ$32="a",'Profils de colonie'!G128,IF($AZ$32="b",'Profils de colonie'!G156,IF($AZ$32="c",'Profils de colonie'!G184,IF($AZ$32="r",'Profils de colonie'!G212,IF($AZ$32="s",'Profils de colonie'!G240,IF($AZ$32="f",'Profils de colonie'!G268,"erreur")))))))))</f>
        <v>5</v>
      </c>
      <c r="BT18" s="13">
        <f t="shared" si="4"/>
        <v>22500</v>
      </c>
      <c r="BU18" s="17">
        <f t="shared" si="5"/>
        <v>0.9</v>
      </c>
      <c r="BV18">
        <f t="shared" si="39"/>
        <v>13500</v>
      </c>
      <c r="BW18" s="14">
        <f t="shared" si="40"/>
        <v>3083.9407982625958</v>
      </c>
      <c r="BX18" s="14">
        <f t="shared" si="6"/>
        <v>1125</v>
      </c>
      <c r="BY18" s="89">
        <f t="shared" si="41"/>
        <v>5.5268025782891312</v>
      </c>
      <c r="BZ18" s="21">
        <f t="shared" si="7"/>
        <v>17.526802578289132</v>
      </c>
      <c r="CA18" s="26">
        <f t="shared" si="8"/>
        <v>0.31533433172433362</v>
      </c>
      <c r="CB18" s="345">
        <f t="shared" si="9"/>
        <v>0.68466566827566644</v>
      </c>
      <c r="CC18" s="343">
        <f t="shared" si="42"/>
        <v>0.54</v>
      </c>
      <c r="CD18" s="343"/>
      <c r="CE18" s="22">
        <f t="shared" si="10"/>
        <v>4034.6036830178405</v>
      </c>
      <c r="CF18" s="5">
        <f t="shared" si="11"/>
        <v>13500</v>
      </c>
      <c r="CG18" s="67">
        <f>IF($AZ$32="d",'Profils de colonie'!K44,IF($AZ$32="n",'Profils de colonie'!K72,IF($AZ$32="p",'Profils de colonie'!K100,IF($AZ$32="a",'Profils de colonie'!K128,IF($AZ$32="b",'Profils de colonie'!K156,IF($AZ$32="c",'Profils de colonie'!K184,IF($AZ$32="r",'Profils de colonie'!K212,IF($AZ$32="s",'Profils de colonie'!K212,IF($AZ$32="f",'Profils de colonie'!K268,"erreur")))))))))</f>
        <v>0.05</v>
      </c>
      <c r="CH18" s="87">
        <f t="shared" si="43"/>
        <v>3.2000000000000001E-2</v>
      </c>
      <c r="CI18" s="63">
        <f t="shared" si="44"/>
        <v>0.16</v>
      </c>
      <c r="CJ18" s="84">
        <f t="shared" si="45"/>
        <v>0.10954650692410663</v>
      </c>
      <c r="CK18" s="60">
        <f t="shared" si="12"/>
        <v>645.53658928285449</v>
      </c>
      <c r="CL18" s="61">
        <f t="shared" si="46"/>
        <v>1.494297660376978</v>
      </c>
      <c r="CM18" s="266">
        <f t="shared" si="13"/>
        <v>0.77559384126722231</v>
      </c>
      <c r="CN18" s="267">
        <f t="shared" si="47"/>
        <v>1.9266497242106571</v>
      </c>
      <c r="CO18" s="61">
        <f t="shared" si="14"/>
        <v>20.526802578289132</v>
      </c>
      <c r="CP18" s="265">
        <v>1</v>
      </c>
      <c r="CQ18" s="71">
        <f t="shared" si="15"/>
        <v>4.2749999999999995</v>
      </c>
      <c r="CR18" s="65">
        <f t="shared" si="48"/>
        <v>9.8493837450082944E-2</v>
      </c>
      <c r="CS18" s="85">
        <f t="shared" si="49"/>
        <v>0.57511916135155983</v>
      </c>
      <c r="CT18" s="59">
        <f t="shared" si="50"/>
        <v>13068</v>
      </c>
      <c r="CU18" s="59">
        <f t="shared" si="16"/>
        <v>3389.067093734986</v>
      </c>
      <c r="CV18" s="62">
        <f t="shared" si="17"/>
        <v>0.25934091626377304</v>
      </c>
      <c r="CW18" s="263">
        <f t="shared" si="18"/>
        <v>0.22844005913056264</v>
      </c>
      <c r="CX18" s="265">
        <f t="shared" si="51"/>
        <v>1.1352640249997701</v>
      </c>
      <c r="CY18" s="64">
        <f t="shared" si="19"/>
        <v>0.84</v>
      </c>
      <c r="CZ18" s="62">
        <f t="shared" si="20"/>
        <v>17.526802578289132</v>
      </c>
      <c r="DA18" s="264">
        <v>1</v>
      </c>
      <c r="DB18" s="70">
        <f t="shared" si="52"/>
        <v>2.2586249999999999</v>
      </c>
      <c r="DC18" s="66">
        <f t="shared" si="21"/>
        <v>6.518049768398862E-2</v>
      </c>
      <c r="DD18" s="91">
        <f t="shared" si="22"/>
        <v>4.8276209010700163E-2</v>
      </c>
      <c r="DE18" s="23">
        <f t="shared" si="23"/>
        <v>-5.0125418235442863E-3</v>
      </c>
      <c r="DF18" s="28">
        <f t="shared" si="24"/>
        <v>4.326366718715588E-2</v>
      </c>
      <c r="DG18" s="28"/>
      <c r="DH18" s="270">
        <f t="shared" si="69"/>
        <v>5892.8085194909918</v>
      </c>
      <c r="DI18" s="178">
        <f t="shared" si="25"/>
        <v>4124.9659636436936</v>
      </c>
      <c r="DJ18" s="178">
        <f t="shared" si="70"/>
        <v>3808.3436021634402</v>
      </c>
      <c r="DK18" s="116">
        <f t="shared" ref="DK18:DK29" si="71">DJ18*EXP(DD18*$BP$37)-DJ18</f>
        <v>4127.5425427729224</v>
      </c>
      <c r="DL18" s="13">
        <f t="shared" si="54"/>
        <v>10020.351062263915</v>
      </c>
      <c r="DM18" s="199">
        <f t="shared" si="55"/>
        <v>735.48541995258893</v>
      </c>
      <c r="DN18" s="107">
        <f t="shared" si="26"/>
        <v>9284.8656423113262</v>
      </c>
      <c r="DO18" s="182">
        <f>'Immigration de varroas'!E25</f>
        <v>0</v>
      </c>
      <c r="DP18" s="109">
        <f t="shared" si="56"/>
        <v>-993.53567094128232</v>
      </c>
      <c r="DQ18" s="82">
        <f t="shared" si="64"/>
        <v>-993.53567094128232</v>
      </c>
      <c r="DR18" s="198">
        <f t="shared" si="27"/>
        <v>8291.3299713700435</v>
      </c>
      <c r="DS18" s="278">
        <f>EZ$33</f>
        <v>0</v>
      </c>
      <c r="DT18" s="107">
        <f t="shared" si="57"/>
        <v>0</v>
      </c>
      <c r="DU18" s="79">
        <f t="shared" si="28"/>
        <v>8291.3299713700435</v>
      </c>
      <c r="DV18" s="23">
        <f t="shared" si="29"/>
        <v>2.2453326551060034E-2</v>
      </c>
      <c r="DW18" s="158">
        <f t="shared" si="30"/>
        <v>40739</v>
      </c>
      <c r="DX18" s="74">
        <f t="shared" si="31"/>
        <v>1858.2048364731518</v>
      </c>
      <c r="DY18" s="23">
        <f t="shared" si="32"/>
        <v>7.4328193458926065E-2</v>
      </c>
      <c r="DZ18" s="114">
        <f t="shared" si="33"/>
        <v>23.413380939561712</v>
      </c>
      <c r="EA18" s="179" t="str">
        <f t="shared" si="66"/>
        <v/>
      </c>
      <c r="EB18" s="179" t="str">
        <f t="shared" si="67"/>
        <v/>
      </c>
      <c r="EC18" s="179"/>
      <c r="ED18">
        <f t="shared" si="68"/>
        <v>0</v>
      </c>
      <c r="EE18" s="13">
        <f t="shared" si="58"/>
        <v>18478.125</v>
      </c>
      <c r="EF18" s="14">
        <f t="shared" si="59"/>
        <v>-3800</v>
      </c>
      <c r="EG18" s="13">
        <f t="shared" si="60"/>
        <v>22278.125</v>
      </c>
      <c r="EH18" s="13">
        <f t="shared" si="65"/>
        <v>1464.8630136986301</v>
      </c>
      <c r="EI18" s="17">
        <f t="shared" si="61"/>
        <v>0.6</v>
      </c>
      <c r="EJ18" s="197">
        <f t="shared" si="62"/>
        <v>993.53567094128232</v>
      </c>
      <c r="EL18" s="13">
        <f t="shared" si="63"/>
        <v>4127.5425427729224</v>
      </c>
      <c r="EM18" s="131">
        <f>EZ$58</f>
        <v>971.74272400292216</v>
      </c>
      <c r="EN18" s="31">
        <f>EY$60</f>
        <v>8.0182706734820627E-2</v>
      </c>
      <c r="ER18" s="2">
        <v>40739</v>
      </c>
      <c r="ES18" s="193">
        <v>43115</v>
      </c>
      <c r="EU18" s="17">
        <v>0.56000000000000005</v>
      </c>
      <c r="EV18">
        <v>11.654999999999999</v>
      </c>
    </row>
    <row r="19" spans="2:166" ht="16" customHeight="1">
      <c r="B19" s="284"/>
      <c r="C19" s="336"/>
      <c r="D19" s="336"/>
      <c r="E19" s="336"/>
      <c r="F19" s="336"/>
      <c r="G19" s="336"/>
      <c r="H19" s="336"/>
      <c r="I19" s="336"/>
      <c r="J19" s="336"/>
      <c r="K19" s="336"/>
      <c r="L19" s="336"/>
      <c r="M19" s="336"/>
      <c r="N19" s="336"/>
      <c r="O19" s="336"/>
      <c r="P19" s="336"/>
      <c r="Q19" s="336"/>
      <c r="R19" s="336"/>
      <c r="S19" s="336"/>
      <c r="T19" s="336"/>
      <c r="U19" s="336"/>
      <c r="V19" s="336"/>
      <c r="W19" s="336"/>
      <c r="X19" s="336"/>
      <c r="Y19" s="336"/>
      <c r="Z19" s="336"/>
      <c r="AA19" s="336"/>
      <c r="AB19" s="336"/>
      <c r="AC19" s="336"/>
      <c r="AE19" s="274"/>
      <c r="AF19" s="274"/>
      <c r="AZ19" s="288">
        <f t="shared" si="34"/>
        <v>40756</v>
      </c>
      <c r="BA19" s="48">
        <f t="shared" si="0"/>
        <v>8291.3299713700435</v>
      </c>
      <c r="BB19" s="222">
        <f t="shared" si="35"/>
        <v>2.3495431041842353E-2</v>
      </c>
      <c r="BC19" s="173">
        <f t="shared" si="1"/>
        <v>0</v>
      </c>
      <c r="BD19" s="99">
        <f t="shared" si="36"/>
        <v>31.973499554988472</v>
      </c>
      <c r="BE19" s="4">
        <f t="shared" si="2"/>
        <v>0.31249956825074354</v>
      </c>
      <c r="BF19" s="3">
        <f t="shared" si="3"/>
        <v>0.36726257503053183</v>
      </c>
      <c r="BG19" s="380"/>
      <c r="BH19" s="378"/>
      <c r="BI19" s="378"/>
      <c r="BJ19" s="378"/>
      <c r="BK19" s="378"/>
      <c r="BL19" s="378"/>
      <c r="BN19" s="392"/>
      <c r="BO19" s="158">
        <f t="shared" si="37"/>
        <v>40756</v>
      </c>
      <c r="BP19" s="373">
        <f>IF($AZ$32="d",'Profils de colonie'!I45,IF($AZ$32="n",'Profils de colonie'!I73,IF($AZ$32="p",'Profils de colonie'!I101,IF($AZ$32="a",'Profils de colonie'!I129,IF($AZ$32="b",'Profils de colonie'!I157,IF($AZ$32="c",'Profils de colonie'!I185,IF($AZ$32="r",'Profils de colonie'!I213,IF($AZ$32="s",'Profils de colonie'!I241,IF($AZ$32="f",'Profils de colonie'!I269,"erreur")))))))))</f>
        <v>25</v>
      </c>
      <c r="BQ19" s="141">
        <v>1200</v>
      </c>
      <c r="BR19">
        <f t="shared" si="38"/>
        <v>30000</v>
      </c>
      <c r="BS19" s="68">
        <f>IF($AZ$32="d",'Profils de colonie'!G45,IF($AZ$32="n",'Profils de colonie'!G73,IF($AZ$32="p",'Profils de colonie'!G101,IF($AZ$32="a",'Profils de colonie'!G129,IF($AZ$32="b",'Profils de colonie'!G157,IF($AZ$32="c",'Profils de colonie'!G185,IF($AZ$32="r",'Profils de colonie'!G213,IF($AZ$32="s",'Profils de colonie'!G241,IF($AZ$32="f",'Profils de colonie'!G269,"erreur")))))))))</f>
        <v>4.5</v>
      </c>
      <c r="BT19" s="13">
        <f t="shared" si="4"/>
        <v>20250</v>
      </c>
      <c r="BU19" s="17">
        <f t="shared" si="5"/>
        <v>0.67500000000000004</v>
      </c>
      <c r="BV19">
        <f t="shared" si="39"/>
        <v>12150</v>
      </c>
      <c r="BW19" s="14">
        <f t="shared" si="40"/>
        <v>3796.8697542465338</v>
      </c>
      <c r="BX19" s="14">
        <f t="shared" si="6"/>
        <v>1012.5</v>
      </c>
      <c r="BY19" s="89">
        <f t="shared" si="41"/>
        <v>6.9652129405480361</v>
      </c>
      <c r="BZ19" s="21">
        <f t="shared" si="7"/>
        <v>18.965212940548035</v>
      </c>
      <c r="CA19" s="26">
        <f t="shared" si="8"/>
        <v>0.36726257503053183</v>
      </c>
      <c r="CB19" s="345">
        <f t="shared" si="9"/>
        <v>0.63273742496946817</v>
      </c>
      <c r="CC19" s="343">
        <f t="shared" si="42"/>
        <v>0.40500000000000003</v>
      </c>
      <c r="CD19" s="343"/>
      <c r="CE19" s="22">
        <f t="shared" si="10"/>
        <v>5246.2347756568552</v>
      </c>
      <c r="CF19" s="5">
        <f t="shared" si="11"/>
        <v>12150</v>
      </c>
      <c r="CG19" s="67">
        <f>IF($AZ$32="d",'Profils de colonie'!K45,IF($AZ$32="n",'Profils de colonie'!K73,IF($AZ$32="p",'Profils de colonie'!K101,IF($AZ$32="a",'Profils de colonie'!K129,IF($AZ$32="b",'Profils de colonie'!K157,IF($AZ$32="c",'Profils de colonie'!K185,IF($AZ$32="r",'Profils de colonie'!K213,IF($AZ$32="s",'Profils de colonie'!K213,IF($AZ$32="f",'Profils de colonie'!K269,"erreur")))))))))</f>
        <v>0.05</v>
      </c>
      <c r="CH19" s="87">
        <f t="shared" si="43"/>
        <v>3.2000000000000001E-2</v>
      </c>
      <c r="CI19" s="63">
        <f t="shared" si="44"/>
        <v>0.16</v>
      </c>
      <c r="CJ19" s="84">
        <f t="shared" si="45"/>
        <v>0.10123798799511491</v>
      </c>
      <c r="CK19" s="60">
        <f t="shared" si="12"/>
        <v>839.39756410509688</v>
      </c>
      <c r="CL19" s="61">
        <f t="shared" si="46"/>
        <v>2.1589443521221625</v>
      </c>
      <c r="CM19" s="266">
        <f t="shared" si="13"/>
        <v>0.88455307196131316</v>
      </c>
      <c r="CN19" s="267">
        <f t="shared" si="47"/>
        <v>2.44071771446698</v>
      </c>
      <c r="CO19" s="61">
        <f t="shared" si="14"/>
        <v>21.965212940548035</v>
      </c>
      <c r="CP19" s="265">
        <v>1</v>
      </c>
      <c r="CQ19" s="71">
        <f t="shared" si="15"/>
        <v>4.2749999999999995</v>
      </c>
      <c r="CR19" s="65">
        <f t="shared" si="48"/>
        <v>9.8493837450082944E-2</v>
      </c>
      <c r="CS19" s="85">
        <f t="shared" si="49"/>
        <v>0.53149943697435331</v>
      </c>
      <c r="CT19" s="59">
        <f t="shared" si="50"/>
        <v>11761.199999999999</v>
      </c>
      <c r="CU19" s="59">
        <f t="shared" si="16"/>
        <v>4406.8372115517586</v>
      </c>
      <c r="CV19" s="62">
        <f t="shared" si="17"/>
        <v>0.37469282144268945</v>
      </c>
      <c r="CW19" s="263">
        <f t="shared" si="18"/>
        <v>0.31249956825074354</v>
      </c>
      <c r="CX19" s="265">
        <f t="shared" si="51"/>
        <v>1.1990148483251533</v>
      </c>
      <c r="CY19" s="64">
        <f t="shared" si="19"/>
        <v>0.84</v>
      </c>
      <c r="CZ19" s="62">
        <f t="shared" si="20"/>
        <v>18.965212940548035</v>
      </c>
      <c r="DA19" s="264">
        <v>1</v>
      </c>
      <c r="DB19" s="70">
        <f t="shared" si="52"/>
        <v>2.2586249999999999</v>
      </c>
      <c r="DC19" s="66">
        <f t="shared" si="21"/>
        <v>6.518049768398862E-2</v>
      </c>
      <c r="DD19" s="91">
        <f t="shared" si="22"/>
        <v>4.461471575411239E-2</v>
      </c>
      <c r="DE19" s="23">
        <f t="shared" si="23"/>
        <v>-5.0125418235442863E-3</v>
      </c>
      <c r="DF19" s="28">
        <f t="shared" si="24"/>
        <v>3.9602173930568106E-2</v>
      </c>
      <c r="DG19" s="28"/>
      <c r="DH19" s="270">
        <f t="shared" si="69"/>
        <v>8291.3299713700435</v>
      </c>
      <c r="DI19" s="178">
        <f t="shared" si="25"/>
        <v>5803.9309799590301</v>
      </c>
      <c r="DJ19" s="178">
        <f t="shared" si="70"/>
        <v>5338.5560842838349</v>
      </c>
      <c r="DK19" s="116">
        <f t="shared" si="71"/>
        <v>5183.4690176477288</v>
      </c>
      <c r="DL19" s="13">
        <f t="shared" si="54"/>
        <v>13474.798989017772</v>
      </c>
      <c r="DM19" s="199">
        <f t="shared" si="55"/>
        <v>989.03901985399716</v>
      </c>
      <c r="DN19" s="107">
        <f t="shared" si="26"/>
        <v>12485.759969163775</v>
      </c>
      <c r="DO19" s="182">
        <f>'Immigration de varroas'!E26</f>
        <v>0</v>
      </c>
      <c r="DP19" s="109">
        <f t="shared" si="56"/>
        <v>-633.284641483477</v>
      </c>
      <c r="DQ19" s="82">
        <f t="shared" si="64"/>
        <v>-633.284641483477</v>
      </c>
      <c r="DR19" s="198">
        <f t="shared" si="27"/>
        <v>11852.475327680299</v>
      </c>
      <c r="DS19" s="278">
        <f>FA$33</f>
        <v>0</v>
      </c>
      <c r="DT19" s="107">
        <f t="shared" si="57"/>
        <v>0</v>
      </c>
      <c r="DU19" s="79">
        <f t="shared" si="28"/>
        <v>11852.475327680299</v>
      </c>
      <c r="DV19" s="23">
        <f t="shared" si="29"/>
        <v>2.3495431041842353E-2</v>
      </c>
      <c r="DW19" s="158">
        <f t="shared" si="30"/>
        <v>40756</v>
      </c>
      <c r="DX19" s="74">
        <f t="shared" si="31"/>
        <v>3045.0951957131879</v>
      </c>
      <c r="DY19" s="23">
        <f t="shared" si="32"/>
        <v>0.1015031731904396</v>
      </c>
      <c r="DZ19" s="114">
        <f t="shared" si="33"/>
        <v>31.973499554988472</v>
      </c>
      <c r="EA19" s="179" t="str">
        <f t="shared" si="66"/>
        <v/>
      </c>
      <c r="EB19" s="179" t="str">
        <f t="shared" si="67"/>
        <v/>
      </c>
      <c r="EC19" s="179"/>
      <c r="ED19">
        <f t="shared" si="68"/>
        <v>0</v>
      </c>
      <c r="EE19" s="13">
        <f t="shared" si="58"/>
        <v>15398.4375</v>
      </c>
      <c r="EF19" s="14">
        <f t="shared" si="59"/>
        <v>5000</v>
      </c>
      <c r="EG19" s="13">
        <f t="shared" si="60"/>
        <v>10398.4375</v>
      </c>
      <c r="EH19" s="13">
        <f t="shared" si="65"/>
        <v>683.73287671232879</v>
      </c>
      <c r="EI19" s="17">
        <f t="shared" si="61"/>
        <v>0.6</v>
      </c>
      <c r="EJ19" s="197">
        <f t="shared" si="62"/>
        <v>633.284641483477</v>
      </c>
      <c r="EL19" s="13">
        <f t="shared" si="63"/>
        <v>5183.4690176477288</v>
      </c>
      <c r="EM19" s="131">
        <f>FA$58</f>
        <v>1516.4504312897056</v>
      </c>
      <c r="EN19" s="31">
        <f>EZ$60</f>
        <v>8.6390135159036069E-2</v>
      </c>
      <c r="ER19" s="2">
        <v>40756</v>
      </c>
      <c r="ES19" s="193">
        <v>43132</v>
      </c>
      <c r="EU19" s="17">
        <v>0.56000000000000005</v>
      </c>
    </row>
    <row r="20" spans="2:166" ht="16" customHeight="1">
      <c r="B20" s="284"/>
      <c r="C20" s="336"/>
      <c r="D20" s="336"/>
      <c r="E20" s="336"/>
      <c r="F20" s="336"/>
      <c r="G20" s="336"/>
      <c r="H20" s="336"/>
      <c r="I20" s="336"/>
      <c r="J20" s="336"/>
      <c r="K20" s="336"/>
      <c r="L20" s="336"/>
      <c r="M20" s="336"/>
      <c r="N20" s="336"/>
      <c r="O20" s="336"/>
      <c r="P20" s="336"/>
      <c r="Q20" s="336"/>
      <c r="R20" s="336"/>
      <c r="S20" s="336"/>
      <c r="T20" s="336"/>
      <c r="U20" s="336"/>
      <c r="V20" s="336"/>
      <c r="W20" s="336"/>
      <c r="X20" s="336"/>
      <c r="Y20" s="336"/>
      <c r="Z20" s="336"/>
      <c r="AA20" s="336"/>
      <c r="AB20" s="336"/>
      <c r="AC20" s="336"/>
      <c r="AE20" s="274"/>
      <c r="AF20" s="274"/>
      <c r="AZ20" s="288">
        <f t="shared" si="34"/>
        <v>40770</v>
      </c>
      <c r="BA20" s="48">
        <f t="shared" si="0"/>
        <v>11852.475327680299</v>
      </c>
      <c r="BB20" s="222">
        <f t="shared" si="35"/>
        <v>1.7644373915934364E-2</v>
      </c>
      <c r="BC20" s="173">
        <f t="shared" si="1"/>
        <v>0</v>
      </c>
      <c r="BD20" s="99">
        <f t="shared" si="36"/>
        <v>47.326236345646898</v>
      </c>
      <c r="BE20" s="4">
        <f t="shared" si="2"/>
        <v>0.44039428088431387</v>
      </c>
      <c r="BF20" s="3">
        <f t="shared" si="3"/>
        <v>0.39042091145773444</v>
      </c>
      <c r="BG20" s="381" t="s">
        <v>108</v>
      </c>
      <c r="BH20" s="378" t="s">
        <v>109</v>
      </c>
      <c r="BI20" s="378"/>
      <c r="BJ20" s="378"/>
      <c r="BK20" s="378"/>
      <c r="BL20" s="378"/>
      <c r="BN20" s="392"/>
      <c r="BO20" s="158">
        <f t="shared" si="37"/>
        <v>40770</v>
      </c>
      <c r="BP20" s="373">
        <f>IF($AZ$32="d",'Profils de colonie'!I46,IF($AZ$32="n",'Profils de colonie'!I74,IF($AZ$32="p",'Profils de colonie'!I102,IF($AZ$32="a",'Profils de colonie'!I130,IF($AZ$32="b",'Profils de colonie'!I158,IF($AZ$32="c",'Profils de colonie'!I186,IF($AZ$32="r",'Profils de colonie'!I214,IF($AZ$32="s",'Profils de colonie'!I242,IF($AZ$32="f",'Profils de colonie'!I270,"erreur")))))))))</f>
        <v>22</v>
      </c>
      <c r="BQ20" s="141">
        <v>1400</v>
      </c>
      <c r="BR20">
        <f t="shared" si="38"/>
        <v>30800</v>
      </c>
      <c r="BS20" s="68">
        <f>IF($AZ$32="d",'Profils de colonie'!G46,IF($AZ$32="n",'Profils de colonie'!G74,IF($AZ$32="p",'Profils de colonie'!G102,IF($AZ$32="a",'Profils de colonie'!G130,IF($AZ$32="b",'Profils de colonie'!G158,IF($AZ$32="c",'Profils de colonie'!G186,IF($AZ$32="r",'Profils de colonie'!G214,IF($AZ$32="s",'Profils de colonie'!G242,IF($AZ$32="f",'Profils de colonie'!G270,"erreur")))))))))</f>
        <v>4</v>
      </c>
      <c r="BT20" s="13">
        <f t="shared" si="4"/>
        <v>18000</v>
      </c>
      <c r="BU20" s="17">
        <f t="shared" si="5"/>
        <v>0.58441558441558439</v>
      </c>
      <c r="BV20">
        <f t="shared" si="39"/>
        <v>10800</v>
      </c>
      <c r="BW20" s="14">
        <f t="shared" si="40"/>
        <v>4756.2582335505895</v>
      </c>
      <c r="BX20" s="14">
        <f t="shared" si="6"/>
        <v>900</v>
      </c>
      <c r="BY20" s="89">
        <f t="shared" si="41"/>
        <v>7.6857146604168207</v>
      </c>
      <c r="BZ20" s="21">
        <f t="shared" si="7"/>
        <v>19.685714660416821</v>
      </c>
      <c r="CA20" s="26">
        <f t="shared" si="8"/>
        <v>0.39042091145773444</v>
      </c>
      <c r="CB20" s="345">
        <f t="shared" si="9"/>
        <v>0.60957908854226561</v>
      </c>
      <c r="CC20" s="343">
        <f t="shared" si="42"/>
        <v>0.35064935064935066</v>
      </c>
      <c r="CD20" s="343"/>
      <c r="CE20" s="22">
        <f t="shared" si="10"/>
        <v>7225.0211072170478</v>
      </c>
      <c r="CF20" s="5">
        <f t="shared" si="11"/>
        <v>10800</v>
      </c>
      <c r="CG20" s="67">
        <f>IF($AZ$32="d",'Profils de colonie'!K46,IF($AZ$32="n",'Profils de colonie'!K74,IF($AZ$32="p",'Profils de colonie'!K102,IF($AZ$32="a",'Profils de colonie'!K130,IF($AZ$32="b",'Profils de colonie'!K158,IF($AZ$32="c",'Profils de colonie'!K186,IF($AZ$32="r",'Profils de colonie'!K214,IF($AZ$32="s",'Profils de colonie'!K214,IF($AZ$32="f",'Profils de colonie'!K270,"erreur")))))))))</f>
        <v>0.05</v>
      </c>
      <c r="CH20" s="87">
        <f t="shared" si="43"/>
        <v>3.2000000000000001E-2</v>
      </c>
      <c r="CI20" s="63">
        <f t="shared" si="44"/>
        <v>0.16</v>
      </c>
      <c r="CJ20" s="84">
        <f t="shared" si="45"/>
        <v>9.7532654166762503E-2</v>
      </c>
      <c r="CK20" s="60">
        <f t="shared" si="12"/>
        <v>1156.0033771547276</v>
      </c>
      <c r="CL20" s="61">
        <f t="shared" si="46"/>
        <v>3.3449171792671515</v>
      </c>
      <c r="CM20" s="266">
        <f t="shared" si="13"/>
        <v>0.96473686444459306</v>
      </c>
      <c r="CN20" s="267">
        <f t="shared" si="47"/>
        <v>3.4671808474872035</v>
      </c>
      <c r="CO20" s="61">
        <f t="shared" si="14"/>
        <v>22.685714660416821</v>
      </c>
      <c r="CP20" s="265">
        <v>1</v>
      </c>
      <c r="CQ20" s="71">
        <f t="shared" si="15"/>
        <v>4.2749999999999995</v>
      </c>
      <c r="CR20" s="65">
        <f t="shared" si="48"/>
        <v>9.8493837450082944E-2</v>
      </c>
      <c r="CS20" s="85">
        <f t="shared" si="49"/>
        <v>0.51204643437550312</v>
      </c>
      <c r="CT20" s="59">
        <f t="shared" si="50"/>
        <v>10454.4</v>
      </c>
      <c r="CU20" s="59">
        <f t="shared" si="16"/>
        <v>6069.01773006232</v>
      </c>
      <c r="CV20" s="62">
        <f t="shared" si="17"/>
        <v>0.58052281623644786</v>
      </c>
      <c r="CW20" s="263">
        <f t="shared" si="18"/>
        <v>0.44039428088431387</v>
      </c>
      <c r="CX20" s="265">
        <f t="shared" si="51"/>
        <v>1.3181858240414337</v>
      </c>
      <c r="CY20" s="64">
        <f t="shared" si="19"/>
        <v>0.84</v>
      </c>
      <c r="CZ20" s="62">
        <f t="shared" si="20"/>
        <v>19.685714660416821</v>
      </c>
      <c r="DA20" s="264">
        <v>1</v>
      </c>
      <c r="DB20" s="70">
        <f t="shared" si="52"/>
        <v>2.2586249999999999</v>
      </c>
      <c r="DC20" s="66">
        <f t="shared" si="21"/>
        <v>6.518049768398862E-2</v>
      </c>
      <c r="DD20" s="91">
        <f t="shared" si="22"/>
        <v>4.2981806815483373E-2</v>
      </c>
      <c r="DE20" s="23">
        <f t="shared" si="23"/>
        <v>-5.0125418235442863E-3</v>
      </c>
      <c r="DF20" s="28">
        <f t="shared" si="24"/>
        <v>3.7969264991939089E-2</v>
      </c>
      <c r="DG20" s="28"/>
      <c r="DH20" s="270">
        <f t="shared" si="69"/>
        <v>11852.475327680299</v>
      </c>
      <c r="DI20" s="178">
        <f t="shared" si="25"/>
        <v>8296.7327293762082</v>
      </c>
      <c r="DJ20" s="178">
        <f t="shared" si="70"/>
        <v>7579.976867507</v>
      </c>
      <c r="DK20" s="116">
        <f t="shared" si="71"/>
        <v>6993.3334188192466</v>
      </c>
      <c r="DL20" s="13">
        <f t="shared" si="54"/>
        <v>18845.808746499544</v>
      </c>
      <c r="DM20" s="199">
        <f t="shared" si="55"/>
        <v>1383.266661431102</v>
      </c>
      <c r="DN20" s="107">
        <f t="shared" si="26"/>
        <v>17462.542085068442</v>
      </c>
      <c r="DO20" s="182">
        <f>'Immigration de varroas'!E27</f>
        <v>0</v>
      </c>
      <c r="DP20" s="109">
        <f t="shared" si="56"/>
        <v>-1961.9495052517061</v>
      </c>
      <c r="DQ20" s="82">
        <f t="shared" si="64"/>
        <v>-1961.9495052517061</v>
      </c>
      <c r="DR20" s="198">
        <f t="shared" si="27"/>
        <v>15500.592579816735</v>
      </c>
      <c r="DS20" s="278">
        <f>FB$33</f>
        <v>0</v>
      </c>
      <c r="DT20" s="107">
        <f t="shared" si="57"/>
        <v>0</v>
      </c>
      <c r="DU20" s="79">
        <f t="shared" si="28"/>
        <v>15500.592579816735</v>
      </c>
      <c r="DV20" s="23">
        <f t="shared" si="29"/>
        <v>1.7644373915934364E-2</v>
      </c>
      <c r="DW20" s="158">
        <f t="shared" si="30"/>
        <v>40770</v>
      </c>
      <c r="DX20" s="74">
        <f t="shared" si="31"/>
        <v>4627.4542204632517</v>
      </c>
      <c r="DY20" s="23">
        <f t="shared" si="32"/>
        <v>0.15024202014491078</v>
      </c>
      <c r="DZ20" s="114">
        <f t="shared" si="33"/>
        <v>47.326236345646898</v>
      </c>
      <c r="EA20" s="179" t="str">
        <f t="shared" si="66"/>
        <v/>
      </c>
      <c r="EB20" s="179" t="str">
        <f t="shared" si="67"/>
        <v/>
      </c>
      <c r="EC20" s="179"/>
      <c r="ED20">
        <f t="shared" si="68"/>
        <v>0</v>
      </c>
      <c r="EE20" s="13">
        <f t="shared" si="58"/>
        <v>13858.59375</v>
      </c>
      <c r="EF20" s="14">
        <f t="shared" si="59"/>
        <v>800</v>
      </c>
      <c r="EG20" s="13">
        <f t="shared" si="60"/>
        <v>13058.59375</v>
      </c>
      <c r="EH20" s="13">
        <f t="shared" si="65"/>
        <v>858.64726027397262</v>
      </c>
      <c r="EI20" s="17">
        <f t="shared" si="61"/>
        <v>1</v>
      </c>
      <c r="EJ20" s="197">
        <f t="shared" si="62"/>
        <v>1961.9495052517061</v>
      </c>
      <c r="EL20" s="13">
        <f t="shared" si="63"/>
        <v>6993.3334188192466</v>
      </c>
      <c r="EM20" s="131">
        <f>FB$58</f>
        <v>2331.6592886022754</v>
      </c>
      <c r="EN20" s="31">
        <f>FA$60</f>
        <v>9.7102238602199895E-2</v>
      </c>
      <c r="EP20" s="31"/>
      <c r="ER20" s="2">
        <v>40770</v>
      </c>
      <c r="ES20" s="193">
        <v>43146</v>
      </c>
      <c r="EV20">
        <v>13.23</v>
      </c>
    </row>
    <row r="21" spans="2:166" ht="16" customHeight="1">
      <c r="B21" s="455" t="s">
        <v>110</v>
      </c>
      <c r="C21" s="456"/>
      <c r="D21" s="333"/>
      <c r="E21" s="333"/>
      <c r="F21" s="333"/>
      <c r="G21" s="333"/>
      <c r="H21" s="333"/>
      <c r="I21" s="333"/>
      <c r="J21" s="333"/>
      <c r="K21" s="333"/>
      <c r="L21" s="333"/>
      <c r="M21" s="333"/>
      <c r="N21" s="333"/>
      <c r="O21" s="333"/>
      <c r="P21" s="333"/>
      <c r="Q21" s="333"/>
      <c r="R21" s="333"/>
      <c r="S21" s="333"/>
      <c r="T21" s="333"/>
      <c r="U21" s="333"/>
      <c r="V21" s="333"/>
      <c r="W21" s="333"/>
      <c r="X21" s="333"/>
      <c r="Y21" s="333"/>
      <c r="Z21" s="334"/>
      <c r="AA21" s="335"/>
      <c r="AB21" s="453"/>
      <c r="AC21" s="454"/>
      <c r="AE21" s="274"/>
      <c r="AF21" s="274"/>
      <c r="AZ21" s="288">
        <f t="shared" si="34"/>
        <v>40787</v>
      </c>
      <c r="BA21" s="48">
        <f t="shared" si="0"/>
        <v>15500.592579816735</v>
      </c>
      <c r="BB21" s="222">
        <f t="shared" si="35"/>
        <v>1.4305444694334013E-2</v>
      </c>
      <c r="BC21" s="173">
        <f t="shared" si="1"/>
        <v>0</v>
      </c>
      <c r="BD21" s="99">
        <f t="shared" si="36"/>
        <v>65.613941238249353</v>
      </c>
      <c r="BE21" s="4">
        <f t="shared" si="2"/>
        <v>0.60143126646275991</v>
      </c>
      <c r="BF21" s="3">
        <f t="shared" si="3"/>
        <v>0.40851767714362519</v>
      </c>
      <c r="BG21" s="380"/>
      <c r="BH21" s="378"/>
      <c r="BI21" s="378"/>
      <c r="BJ21" s="378"/>
      <c r="BK21" s="378"/>
      <c r="BL21" s="378"/>
      <c r="BN21" s="392"/>
      <c r="BO21" s="158">
        <f t="shared" si="37"/>
        <v>40787</v>
      </c>
      <c r="BP21" s="373">
        <f>IF($AZ$32="d",'Profils de colonie'!I47,IF($AZ$32="n",'Profils de colonie'!I75,IF($AZ$32="p",'Profils de colonie'!I103,IF($AZ$32="a",'Profils de colonie'!I131,IF($AZ$32="b",'Profils de colonie'!I159,IF($AZ$32="c",'Profils de colonie'!I187,IF($AZ$32="r",'Profils de colonie'!I215,IF($AZ$32="s",'Profils de colonie'!I243,IF($AZ$32="f",'Profils de colonie'!I271,"erreur")))))))))</f>
        <v>19</v>
      </c>
      <c r="BQ21" s="141">
        <v>1600</v>
      </c>
      <c r="BR21">
        <f t="shared" si="38"/>
        <v>30400</v>
      </c>
      <c r="BS21" s="68">
        <f>IF($AZ$32="d",'Profils de colonie'!G47,IF($AZ$32="n",'Profils de colonie'!G75,IF($AZ$32="p",'Profils de colonie'!G103,IF($AZ$32="a",'Profils de colonie'!G131,IF($AZ$32="b",'Profils de colonie'!G159,IF($AZ$32="c",'Profils de colonie'!G187,IF($AZ$32="r",'Profils de colonie'!G215,IF($AZ$32="s",'Profils de colonie'!G243,IF($AZ$32="f",'Profils de colonie'!G271,"erreur")))))))))</f>
        <v>3.5</v>
      </c>
      <c r="BT21" s="13">
        <f t="shared" si="4"/>
        <v>15750</v>
      </c>
      <c r="BU21" s="17">
        <f t="shared" si="5"/>
        <v>0.51809210526315785</v>
      </c>
      <c r="BV21">
        <f t="shared" si="39"/>
        <v>9450</v>
      </c>
      <c r="BW21" s="14">
        <f t="shared" si="40"/>
        <v>5683.5254680730814</v>
      </c>
      <c r="BX21" s="14">
        <f t="shared" si="6"/>
        <v>787.5</v>
      </c>
      <c r="BY21" s="89">
        <f t="shared" si="41"/>
        <v>8.2880112157026709</v>
      </c>
      <c r="BZ21" s="21">
        <f t="shared" si="7"/>
        <v>20.288011215702671</v>
      </c>
      <c r="CA21" s="26">
        <f t="shared" si="8"/>
        <v>0.40851767714362519</v>
      </c>
      <c r="CB21" s="345">
        <f t="shared" si="9"/>
        <v>0.59148232285637481</v>
      </c>
      <c r="CC21" s="343">
        <f t="shared" si="42"/>
        <v>0.31085526315789475</v>
      </c>
      <c r="CD21" s="343"/>
      <c r="CE21" s="22">
        <f t="shared" si="10"/>
        <v>9168.3265047602908</v>
      </c>
      <c r="CF21" s="5">
        <f t="shared" si="11"/>
        <v>9450</v>
      </c>
      <c r="CG21" s="67">
        <f>IF($AZ$32="d",'Profils de colonie'!K47,IF($AZ$32="n",'Profils de colonie'!K75,IF($AZ$32="p",'Profils de colonie'!K103,IF($AZ$32="a",'Profils de colonie'!K131,IF($AZ$32="b",'Profils de colonie'!K159,IF($AZ$32="c",'Profils de colonie'!K187,IF($AZ$32="r",'Profils de colonie'!K215,IF($AZ$32="s",'Profils de colonie'!K215,IF($AZ$32="f",'Profils de colonie'!K271,"erreur")))))))))</f>
        <v>0.02</v>
      </c>
      <c r="CH21" s="87">
        <f t="shared" si="43"/>
        <v>1.2800000000000001E-2</v>
      </c>
      <c r="CI21" s="63">
        <f t="shared" si="44"/>
        <v>6.4000000000000001E-2</v>
      </c>
      <c r="CJ21" s="84">
        <f t="shared" si="45"/>
        <v>3.7854868662807989E-2</v>
      </c>
      <c r="CK21" s="60">
        <f t="shared" si="12"/>
        <v>586.77289630465862</v>
      </c>
      <c r="CL21" s="61">
        <f t="shared" si="46"/>
        <v>4.8509664046350744</v>
      </c>
      <c r="CM21" s="266">
        <f t="shared" si="13"/>
        <v>0.99217918417669093</v>
      </c>
      <c r="CN21" s="267">
        <f t="shared" si="47"/>
        <v>4.8892039683944795</v>
      </c>
      <c r="CO21" s="61">
        <f t="shared" si="14"/>
        <v>23.288011215702671</v>
      </c>
      <c r="CP21" s="265">
        <v>1</v>
      </c>
      <c r="CQ21" s="71">
        <f t="shared" si="15"/>
        <v>4.2749999999999995</v>
      </c>
      <c r="CR21" s="65">
        <f t="shared" si="48"/>
        <v>9.8493837450082944E-2</v>
      </c>
      <c r="CS21" s="85">
        <f t="shared" si="49"/>
        <v>0.55362745419356685</v>
      </c>
      <c r="CT21" s="59">
        <f t="shared" si="50"/>
        <v>9329.0399999999991</v>
      </c>
      <c r="CU21" s="59">
        <f t="shared" si="16"/>
        <v>8581.5536084556315</v>
      </c>
      <c r="CV21" s="62">
        <f t="shared" si="17"/>
        <v>0.91987531497942254</v>
      </c>
      <c r="CW21" s="263">
        <f t="shared" si="18"/>
        <v>0.60143126646275991</v>
      </c>
      <c r="CX21" s="265">
        <f t="shared" si="51"/>
        <v>1.5294744999125853</v>
      </c>
      <c r="CY21" s="64">
        <f t="shared" si="19"/>
        <v>0.93599999999999994</v>
      </c>
      <c r="CZ21" s="62">
        <f t="shared" si="20"/>
        <v>20.288011215702671</v>
      </c>
      <c r="DA21" s="264">
        <v>1</v>
      </c>
      <c r="DB21" s="70">
        <f t="shared" si="52"/>
        <v>2.2586249999999999</v>
      </c>
      <c r="DC21" s="66">
        <f t="shared" si="21"/>
        <v>6.518049768398862E-2</v>
      </c>
      <c r="DD21" s="91">
        <f t="shared" si="22"/>
        <v>3.9814184276625149E-2</v>
      </c>
      <c r="DE21" s="23">
        <f t="shared" si="23"/>
        <v>-5.0125418235442863E-3</v>
      </c>
      <c r="DF21" s="28">
        <f t="shared" si="24"/>
        <v>3.4801642453080865E-2</v>
      </c>
      <c r="DG21" s="28"/>
      <c r="DH21" s="270">
        <f t="shared" si="69"/>
        <v>15500.592579816735</v>
      </c>
      <c r="DI21" s="178">
        <f t="shared" si="25"/>
        <v>10850.414805871715</v>
      </c>
      <c r="DJ21" s="178">
        <f t="shared" si="70"/>
        <v>9796.8152384591176</v>
      </c>
      <c r="DK21" s="116">
        <f t="shared" si="71"/>
        <v>8152.72934229563</v>
      </c>
      <c r="DL21" s="13">
        <f t="shared" si="54"/>
        <v>23653.321922112365</v>
      </c>
      <c r="DM21" s="199">
        <f t="shared" si="55"/>
        <v>1736.1341233515777</v>
      </c>
      <c r="DN21" s="107">
        <f t="shared" si="26"/>
        <v>21917.187798760788</v>
      </c>
      <c r="DO21" s="182">
        <f>'Immigration de varroas'!E28</f>
        <v>0</v>
      </c>
      <c r="DP21" s="109">
        <f t="shared" si="56"/>
        <v>-2649.2930638856633</v>
      </c>
      <c r="DQ21" s="82">
        <f t="shared" si="64"/>
        <v>-2649.2930638856633</v>
      </c>
      <c r="DR21" s="198">
        <f t="shared" si="27"/>
        <v>19267.894734875124</v>
      </c>
      <c r="DS21" s="278">
        <f>FC$33</f>
        <v>0</v>
      </c>
      <c r="DT21" s="107">
        <f t="shared" si="57"/>
        <v>0</v>
      </c>
      <c r="DU21" s="79">
        <f t="shared" si="28"/>
        <v>19267.894734875124</v>
      </c>
      <c r="DV21" s="23">
        <f t="shared" si="29"/>
        <v>1.4305444694334013E-2</v>
      </c>
      <c r="DW21" s="158">
        <f t="shared" si="30"/>
        <v>40787</v>
      </c>
      <c r="DX21" s="74">
        <f t="shared" si="31"/>
        <v>6332.2660750564455</v>
      </c>
      <c r="DY21" s="23">
        <f t="shared" si="32"/>
        <v>0.20829822615317256</v>
      </c>
      <c r="DZ21" s="114">
        <f t="shared" si="33"/>
        <v>65.613941238249353</v>
      </c>
      <c r="EA21" s="179" t="str">
        <f t="shared" si="66"/>
        <v/>
      </c>
      <c r="EB21" s="179" t="str">
        <f t="shared" si="67"/>
        <v/>
      </c>
      <c r="EC21" s="179"/>
      <c r="ED21">
        <f t="shared" si="68"/>
        <v>0</v>
      </c>
      <c r="EE21" s="13">
        <f t="shared" si="58"/>
        <v>12318.75</v>
      </c>
      <c r="EF21" s="14">
        <f t="shared" si="59"/>
        <v>-400</v>
      </c>
      <c r="EG21" s="13">
        <f t="shared" si="60"/>
        <v>12718.75</v>
      </c>
      <c r="EH21" s="13">
        <f t="shared" si="65"/>
        <v>836.30136986301363</v>
      </c>
      <c r="EI21" s="17">
        <f t="shared" si="61"/>
        <v>1</v>
      </c>
      <c r="EJ21" s="197">
        <f t="shared" si="62"/>
        <v>2649.2930638856633</v>
      </c>
      <c r="EL21" s="13">
        <f t="shared" si="63"/>
        <v>8152.72934229563</v>
      </c>
      <c r="EM21" s="131">
        <f>FC$58</f>
        <v>3529.1028940136475</v>
      </c>
      <c r="EN21" s="31">
        <f>FB$60</f>
        <v>0.10855417002837194</v>
      </c>
      <c r="ER21" s="2">
        <v>40787</v>
      </c>
      <c r="ES21" s="193">
        <v>43160</v>
      </c>
    </row>
    <row r="22" spans="2:166" ht="16" customHeight="1">
      <c r="B22" s="286" t="s">
        <v>111</v>
      </c>
      <c r="C22" s="290" t="s">
        <v>112</v>
      </c>
      <c r="D22" s="457" t="str">
        <f>IF($C$22="a",'Profils de colonie'!B114,IF($C$22="d",'Profils de colonie'!B30,IF($C$22="b",'Profils de colonie'!B142,IF($C$22="c",'Profils de colonie'!B170,IF($C$22="r",'Profils de colonie'!B198,IF($C$22="s",'Profils de colonie'!B226,IF($C$22="f",'Profils de colonie'!B254,IF($C$22="n",'Profils de colonie'!B58,IF($C$22="p",'Profils de colonie'!B86,"erreur")))))))))</f>
        <v>D : colonie par défaut en climat tempéré, conduite pour éviter l’essaimage (légère reprise du couvain en automne)</v>
      </c>
      <c r="E22" s="458"/>
      <c r="F22" s="458"/>
      <c r="G22" s="458"/>
      <c r="H22" s="458"/>
      <c r="I22" s="458"/>
      <c r="J22" s="458"/>
      <c r="K22" s="458"/>
      <c r="L22" s="458"/>
      <c r="M22" s="458"/>
      <c r="N22" s="458"/>
      <c r="O22" s="458"/>
      <c r="P22" s="458"/>
      <c r="Q22" s="458"/>
      <c r="R22" s="458"/>
      <c r="S22" s="458"/>
      <c r="T22" s="458"/>
      <c r="U22" s="458"/>
      <c r="V22" s="458"/>
      <c r="W22" s="458"/>
      <c r="X22" s="458"/>
      <c r="Y22" s="458"/>
      <c r="Z22" s="458"/>
      <c r="AA22" s="459"/>
      <c r="AB22" s="461" t="s">
        <v>113</v>
      </c>
      <c r="AC22" s="461"/>
      <c r="AZ22" s="288">
        <f t="shared" si="34"/>
        <v>40801</v>
      </c>
      <c r="BA22" s="48">
        <f t="shared" si="0"/>
        <v>19267.894734875124</v>
      </c>
      <c r="BB22" s="222">
        <f t="shared" si="35"/>
        <v>1.6029505222297805E-2</v>
      </c>
      <c r="BC22" s="173">
        <f t="shared" si="1"/>
        <v>0</v>
      </c>
      <c r="BD22" s="99">
        <f t="shared" si="36"/>
        <v>80.04963678321414</v>
      </c>
      <c r="BE22" s="4">
        <f t="shared" si="2"/>
        <v>0.64971687010179902</v>
      </c>
      <c r="BF22" s="3">
        <f t="shared" si="3"/>
        <v>0.37984554281470778</v>
      </c>
      <c r="BG22" s="400" t="s">
        <v>114</v>
      </c>
      <c r="BH22" s="378" t="s">
        <v>115</v>
      </c>
      <c r="BI22" s="378"/>
      <c r="BJ22" s="378"/>
      <c r="BK22" s="378"/>
      <c r="BL22" s="378"/>
      <c r="BN22" s="392"/>
      <c r="BO22" s="158">
        <f t="shared" si="37"/>
        <v>40801</v>
      </c>
      <c r="BP22" s="373">
        <f>IF($AZ$32="d",'Profils de colonie'!I48,IF($AZ$32="n",'Profils de colonie'!I76,IF($AZ$32="p",'Profils de colonie'!I104,IF($AZ$32="a",'Profils de colonie'!I132,IF($AZ$32="b",'Profils de colonie'!I160,IF($AZ$32="c",'Profils de colonie'!I188,IF($AZ$32="r",'Profils de colonie'!I216,IF($AZ$32="s",'Profils de colonie'!I244,IF($AZ$32="f",'Profils de colonie'!I272,"erreur")))))))))</f>
        <v>16</v>
      </c>
      <c r="BQ22" s="141">
        <v>1800</v>
      </c>
      <c r="BR22">
        <f t="shared" si="38"/>
        <v>28800</v>
      </c>
      <c r="BS22" s="68">
        <f>IF($AZ$32="d",'Profils de colonie'!G48,IF($AZ$32="n",'Profils de colonie'!G76,IF($AZ$32="p",'Profils de colonie'!G104,IF($AZ$32="a",'Profils de colonie'!G132,IF($AZ$32="b",'Profils de colonie'!G160,IF($AZ$32="c",'Profils de colonie'!G188,IF($AZ$32="r",'Profils de colonie'!G216,IF($AZ$32="s",'Profils de colonie'!G244,IF($AZ$32="f",'Profils de colonie'!G272,"erreur")))))))))</f>
        <v>4</v>
      </c>
      <c r="BT22" s="13">
        <f t="shared" si="4"/>
        <v>18000</v>
      </c>
      <c r="BU22" s="17">
        <f t="shared" si="5"/>
        <v>0.625</v>
      </c>
      <c r="BV22">
        <f t="shared" si="39"/>
        <v>10800</v>
      </c>
      <c r="BW22" s="14">
        <f t="shared" si="40"/>
        <v>7016.942197099429</v>
      </c>
      <c r="BX22" s="14">
        <f t="shared" si="6"/>
        <v>900</v>
      </c>
      <c r="BY22" s="89">
        <f t="shared" si="41"/>
        <v>7.3500181462286776</v>
      </c>
      <c r="BZ22" s="21">
        <f t="shared" si="7"/>
        <v>19.350018146228678</v>
      </c>
      <c r="CA22" s="26">
        <f t="shared" si="8"/>
        <v>0.37984554281470778</v>
      </c>
      <c r="CB22" s="345">
        <f t="shared" si="9"/>
        <v>0.62015445718529216</v>
      </c>
      <c r="CC22" s="343">
        <f t="shared" si="42"/>
        <v>0.375</v>
      </c>
      <c r="CD22" s="343"/>
      <c r="CE22" s="22">
        <f t="shared" si="10"/>
        <v>11949.070800409832</v>
      </c>
      <c r="CF22" s="5">
        <f t="shared" si="11"/>
        <v>10800</v>
      </c>
      <c r="CG22" s="67">
        <f>IF($AZ$32="d",'Profils de colonie'!K48,IF($AZ$32="n",'Profils de colonie'!K76,IF($AZ$32="p",'Profils de colonie'!K104,IF($AZ$32="a",'Profils de colonie'!K132,IF($AZ$32="b",'Profils de colonie'!K160,IF($AZ$32="c",'Profils de colonie'!K188,IF($AZ$32="r",'Profils de colonie'!K216,IF($AZ$32="s",'Profils de colonie'!K216,IF($AZ$32="f",'Profils de colonie'!K272,"erreur")))))))))</f>
        <v>0.02</v>
      </c>
      <c r="CH22" s="87">
        <f t="shared" si="43"/>
        <v>1.2800000000000001E-2</v>
      </c>
      <c r="CI22" s="63">
        <f t="shared" si="44"/>
        <v>6.4000000000000001E-2</v>
      </c>
      <c r="CJ22" s="84">
        <f t="shared" si="45"/>
        <v>3.9689885259858698E-2</v>
      </c>
      <c r="CK22" s="60">
        <f t="shared" si="12"/>
        <v>764.74053122622934</v>
      </c>
      <c r="CL22" s="61">
        <f t="shared" si="46"/>
        <v>5.5319772224119594</v>
      </c>
      <c r="CM22" s="266">
        <f t="shared" si="13"/>
        <v>0.99604184480619262</v>
      </c>
      <c r="CN22" s="267">
        <f t="shared" si="47"/>
        <v>5.5539606606471015</v>
      </c>
      <c r="CO22" s="61">
        <f t="shared" si="14"/>
        <v>22.350018146228678</v>
      </c>
      <c r="CP22" s="265">
        <v>1</v>
      </c>
      <c r="CQ22" s="71">
        <f t="shared" si="15"/>
        <v>4.2749999999999995</v>
      </c>
      <c r="CR22" s="65">
        <f t="shared" si="48"/>
        <v>9.8493837450082944E-2</v>
      </c>
      <c r="CS22" s="85">
        <f t="shared" si="49"/>
        <v>0.58046457192543344</v>
      </c>
      <c r="CT22" s="59">
        <f t="shared" si="50"/>
        <v>10661.76</v>
      </c>
      <c r="CU22" s="59">
        <f t="shared" si="16"/>
        <v>11184.330269183603</v>
      </c>
      <c r="CV22" s="62">
        <f t="shared" si="17"/>
        <v>1.0490135089500798</v>
      </c>
      <c r="CW22" s="263">
        <f t="shared" si="18"/>
        <v>0.64971687010179902</v>
      </c>
      <c r="CX22" s="265">
        <f t="shared" si="51"/>
        <v>1.6145677335082662</v>
      </c>
      <c r="CY22" s="64">
        <f t="shared" si="19"/>
        <v>0.93599999999999994</v>
      </c>
      <c r="CZ22" s="62">
        <f t="shared" si="20"/>
        <v>19.350018146228678</v>
      </c>
      <c r="DA22" s="264">
        <v>1</v>
      </c>
      <c r="DB22" s="70">
        <f t="shared" si="52"/>
        <v>2.2586249999999999</v>
      </c>
      <c r="DC22" s="66">
        <f t="shared" si="21"/>
        <v>6.518049768398862E-2</v>
      </c>
      <c r="DD22" s="91">
        <f t="shared" si="22"/>
        <v>4.1744178793220121E-2</v>
      </c>
      <c r="DE22" s="23">
        <f t="shared" si="23"/>
        <v>-5.0125418235442863E-3</v>
      </c>
      <c r="DF22" s="28">
        <f t="shared" si="24"/>
        <v>3.6731636969675838E-2</v>
      </c>
      <c r="DG22" s="28"/>
      <c r="DH22" s="270">
        <f t="shared" si="69"/>
        <v>19267.894734875124</v>
      </c>
      <c r="DI22" s="178">
        <f t="shared" si="25"/>
        <v>13487.526314412586</v>
      </c>
      <c r="DJ22" s="178">
        <f t="shared" si="70"/>
        <v>12023.399089615701</v>
      </c>
      <c r="DK22" s="116">
        <f t="shared" si="71"/>
        <v>10661.831118613274</v>
      </c>
      <c r="DL22" s="13">
        <f t="shared" si="54"/>
        <v>29929.725853488399</v>
      </c>
      <c r="DM22" s="199">
        <f t="shared" si="55"/>
        <v>2196.8169430029302</v>
      </c>
      <c r="DN22" s="107">
        <f t="shared" si="26"/>
        <v>27732.908910485468</v>
      </c>
      <c r="DO22" s="182">
        <f>'Immigration de varroas'!E29</f>
        <v>0</v>
      </c>
      <c r="DP22" s="109">
        <f t="shared" si="56"/>
        <v>-3145.7998383681252</v>
      </c>
      <c r="DQ22" s="82">
        <f t="shared" si="64"/>
        <v>-3145.7998383681252</v>
      </c>
      <c r="DR22" s="198">
        <f t="shared" si="27"/>
        <v>24587.109072117342</v>
      </c>
      <c r="DS22" s="278">
        <f>FD$33</f>
        <v>0</v>
      </c>
      <c r="DT22" s="107">
        <f t="shared" si="57"/>
        <v>0</v>
      </c>
      <c r="DU22" s="79">
        <f t="shared" si="28"/>
        <v>24587.109072117342</v>
      </c>
      <c r="DV22" s="23">
        <f t="shared" si="29"/>
        <v>1.6029505222297805E-2</v>
      </c>
      <c r="DW22" s="158">
        <f t="shared" si="30"/>
        <v>40801</v>
      </c>
      <c r="DX22" s="74">
        <f t="shared" si="31"/>
        <v>7318.823934465292</v>
      </c>
      <c r="DY22" s="23">
        <f t="shared" si="32"/>
        <v>0.25412583105782266</v>
      </c>
      <c r="DZ22" s="114">
        <f t="shared" si="33"/>
        <v>80.04963678321414</v>
      </c>
      <c r="EA22" s="179" t="str">
        <f t="shared" si="66"/>
        <v/>
      </c>
      <c r="EB22" s="179" t="str">
        <f t="shared" si="67"/>
        <v/>
      </c>
      <c r="EC22" s="179"/>
      <c r="ED22">
        <f t="shared" si="68"/>
        <v>0</v>
      </c>
      <c r="EE22" s="13">
        <f t="shared" si="58"/>
        <v>10778.90625</v>
      </c>
      <c r="EF22" s="14">
        <f t="shared" si="59"/>
        <v>-1600</v>
      </c>
      <c r="EG22" s="13">
        <f t="shared" si="60"/>
        <v>12378.90625</v>
      </c>
      <c r="EH22" s="13">
        <f t="shared" si="65"/>
        <v>813.95547945205476</v>
      </c>
      <c r="EI22" s="17">
        <f t="shared" si="61"/>
        <v>1</v>
      </c>
      <c r="EJ22" s="197">
        <f t="shared" si="62"/>
        <v>3145.7998383681252</v>
      </c>
      <c r="EL22" s="13">
        <f t="shared" si="63"/>
        <v>10661.831118613274</v>
      </c>
      <c r="EM22" s="131">
        <f>FD$58</f>
        <v>5271.2235907041031</v>
      </c>
      <c r="EN22" s="31">
        <f>FC$60</f>
        <v>0.12569735485437009</v>
      </c>
      <c r="ER22" s="2">
        <v>40801</v>
      </c>
      <c r="ES22" s="193">
        <v>43174</v>
      </c>
      <c r="EV22">
        <v>19.53</v>
      </c>
    </row>
    <row r="23" spans="2:166" ht="16" customHeight="1">
      <c r="B23" s="280" t="s">
        <v>116</v>
      </c>
      <c r="C23" s="285">
        <v>100</v>
      </c>
      <c r="D23" s="295">
        <f>IF('Densité ajustée'!$BA6=0,"",'Densité ajustée'!$BA6)</f>
        <v>92.660083310629844</v>
      </c>
      <c r="E23" s="295">
        <f>IF('Densité ajustée'!$BA7=0,"",'Densité ajustée'!$BA7)</f>
        <v>100.32108346182575</v>
      </c>
      <c r="F23" s="295">
        <f>IF('Densité ajustée'!$BA8=0,"",'Densité ajustée'!$BA8)</f>
        <v>124.42065763678137</v>
      </c>
      <c r="G23" s="295">
        <f>IF('Densité ajustée'!$BA9=0,"",'Densité ajustée'!$BA9)</f>
        <v>158.6749522648</v>
      </c>
      <c r="H23" s="295">
        <f>IF('Densité ajustée'!$BA10=0,"",'Densité ajustée'!$BA10)</f>
        <v>210.62746864578881</v>
      </c>
      <c r="I23" s="295">
        <f>BA11</f>
        <v>300.29874118793583</v>
      </c>
      <c r="J23" s="295">
        <f>'Densité ajustée'!BA12</f>
        <v>475.28153417114964</v>
      </c>
      <c r="K23" s="295">
        <f>'Densité ajustée'!BA13</f>
        <v>757.12463328523631</v>
      </c>
      <c r="L23" s="295">
        <f>'Densité ajustée'!BA14</f>
        <v>1194.0933612985234</v>
      </c>
      <c r="M23" s="295">
        <f>'Densité ajustée'!BA15</f>
        <v>1837.3892607905761</v>
      </c>
      <c r="N23" s="295">
        <f>'Densité ajustée'!BA16</f>
        <v>2778.0925031449278</v>
      </c>
      <c r="O23" s="295">
        <f>'Densité ajustée'!BA17</f>
        <v>4069.1291461584087</v>
      </c>
      <c r="P23" s="295">
        <f>'Densité ajustée'!BA18</f>
        <v>5892.8085194909918</v>
      </c>
      <c r="Q23" s="295">
        <f>'Densité ajustée'!BA19</f>
        <v>8291.3299713700435</v>
      </c>
      <c r="R23" s="295">
        <f>'Densité ajustée'!BA20</f>
        <v>11852.475327680299</v>
      </c>
      <c r="S23" s="295">
        <f>'Densité ajustée'!BA21</f>
        <v>15500.592579816735</v>
      </c>
      <c r="T23" s="295">
        <f>'Densité ajustée'!BA22</f>
        <v>19267.894734875124</v>
      </c>
      <c r="U23" s="295">
        <f>'Densité ajustée'!BA23</f>
        <v>24587.109072117342</v>
      </c>
      <c r="V23" s="295" t="str">
        <f>'Densité ajustée'!BA24</f>
        <v/>
      </c>
      <c r="W23" s="295" t="str">
        <f>'Densité ajustée'!BA25</f>
        <v/>
      </c>
      <c r="X23" s="295" t="str">
        <f>'Densité ajustée'!BA26</f>
        <v/>
      </c>
      <c r="Y23" s="295" t="str">
        <f>'Densité ajustée'!BA27</f>
        <v/>
      </c>
      <c r="Z23" s="295" t="str">
        <f>'Densité ajustée'!BA28</f>
        <v/>
      </c>
      <c r="AA23" s="296" t="str">
        <f>'Densité ajustée'!BA29</f>
        <v/>
      </c>
      <c r="AB23" s="461"/>
      <c r="AC23" s="461"/>
      <c r="AE23" s="219"/>
      <c r="AF23" s="219"/>
      <c r="AZ23" s="288">
        <f t="shared" si="34"/>
        <v>40817</v>
      </c>
      <c r="BA23" s="48">
        <f t="shared" si="0"/>
        <v>24587.109072117342</v>
      </c>
      <c r="BB23" s="222">
        <f t="shared" si="35"/>
        <v>-1.8988139513703428E-2</v>
      </c>
      <c r="BC23" s="173">
        <f t="shared" si="1"/>
        <v>0</v>
      </c>
      <c r="BD23" s="99">
        <f t="shared" si="36"/>
        <v>123.58627675879535</v>
      </c>
      <c r="BE23" s="4">
        <f t="shared" si="2"/>
        <v>0.90684739337804521</v>
      </c>
      <c r="BF23" s="3">
        <f t="shared" si="3"/>
        <v>0.47871108236240284</v>
      </c>
      <c r="BG23" s="401"/>
      <c r="BH23" s="378"/>
      <c r="BI23" s="378"/>
      <c r="BJ23" s="378"/>
      <c r="BK23" s="378"/>
      <c r="BL23" s="378"/>
      <c r="BN23" s="392"/>
      <c r="BO23" s="158">
        <f t="shared" si="37"/>
        <v>40817</v>
      </c>
      <c r="BP23" s="373">
        <f>IF($AZ$32="d",'Profils de colonie'!I49,IF($AZ$32="n",'Profils de colonie'!I77,IF($AZ$32="p",'Profils de colonie'!I105,IF($AZ$32="a",'Profils de colonie'!I133,IF($AZ$32="b",'Profils de colonie'!I161,IF($AZ$32="c",'Profils de colonie'!I189,IF($AZ$32="r",'Profils de colonie'!I217,IF($AZ$32="s",'Profils de colonie'!I245,IF($AZ$32="f",'Profils de colonie'!I273,"erreur")))))))))</f>
        <v>15</v>
      </c>
      <c r="BQ23" s="141">
        <v>2000</v>
      </c>
      <c r="BR23">
        <f t="shared" si="38"/>
        <v>30000</v>
      </c>
      <c r="BS23" s="68">
        <f>IF($AZ$32="d",'Profils de colonie'!G49,IF($AZ$32="n",'Profils de colonie'!G77,IF($AZ$32="p",'Profils de colonie'!G105,IF($AZ$32="a",'Profils de colonie'!G133,IF($AZ$32="b",'Profils de colonie'!G161,IF($AZ$32="c",'Profils de colonie'!G189,IF($AZ$32="r",'Profils de colonie'!G217,IF($AZ$32="s",'Profils de colonie'!G245,IF($AZ$32="f",'Profils de colonie'!G273,"erreur")))))))))</f>
        <v>2</v>
      </c>
      <c r="BT23" s="13">
        <f t="shared" si="4"/>
        <v>9000</v>
      </c>
      <c r="BU23" s="17">
        <f t="shared" si="5"/>
        <v>0.3</v>
      </c>
      <c r="BV23">
        <f t="shared" si="39"/>
        <v>5400</v>
      </c>
      <c r="BW23" s="14">
        <f t="shared" si="40"/>
        <v>4896.9759242414439</v>
      </c>
      <c r="BX23" s="14">
        <f t="shared" si="6"/>
        <v>450</v>
      </c>
      <c r="BY23" s="89">
        <f t="shared" si="41"/>
        <v>11.019864021629679</v>
      </c>
      <c r="BZ23" s="21">
        <f t="shared" si="7"/>
        <v>23.019864021629679</v>
      </c>
      <c r="CA23" s="26">
        <f t="shared" si="8"/>
        <v>0.47871108236240284</v>
      </c>
      <c r="CB23" s="345">
        <f t="shared" si="9"/>
        <v>0.52128891763759722</v>
      </c>
      <c r="CC23" s="343">
        <f t="shared" si="42"/>
        <v>0.18</v>
      </c>
      <c r="CD23" s="343"/>
      <c r="CE23" s="22">
        <f t="shared" si="10"/>
        <v>12816.987476041597</v>
      </c>
      <c r="CF23" s="5">
        <f t="shared" si="11"/>
        <v>5400</v>
      </c>
      <c r="CG23" s="67">
        <f>IF($AZ$32="d",'Profils de colonie'!K49,IF($AZ$32="n",'Profils de colonie'!K77,IF($AZ$32="p",'Profils de colonie'!K105,IF($AZ$32="a",'Profils de colonie'!K133,IF($AZ$32="b",'Profils de colonie'!K161,IF($AZ$32="c",'Profils de colonie'!K189,IF($AZ$32="r",'Profils de colonie'!K217,IF($AZ$32="s",'Profils de colonie'!K217,IF($AZ$32="f",'Profils de colonie'!K273,"erreur")))))))))</f>
        <v>0</v>
      </c>
      <c r="CH23" s="87">
        <f t="shared" si="43"/>
        <v>0</v>
      </c>
      <c r="CI23" s="63">
        <f t="shared" si="44"/>
        <v>0</v>
      </c>
      <c r="CJ23" s="84">
        <f t="shared" si="45"/>
        <v>0</v>
      </c>
      <c r="CK23" s="60">
        <f t="shared" si="12"/>
        <v>0</v>
      </c>
      <c r="CL23" s="61">
        <f t="shared" si="46"/>
        <v>0</v>
      </c>
      <c r="CM23" s="266">
        <f t="shared" si="13"/>
        <v>0</v>
      </c>
      <c r="CN23" s="267">
        <f t="shared" si="47"/>
        <v>0</v>
      </c>
      <c r="CO23" s="61">
        <f t="shared" si="14"/>
        <v>26.019864021629679</v>
      </c>
      <c r="CP23" s="265">
        <v>1</v>
      </c>
      <c r="CQ23" s="71">
        <f t="shared" si="15"/>
        <v>4.2749999999999995</v>
      </c>
      <c r="CR23" s="65">
        <f t="shared" si="48"/>
        <v>9.8493837450082944E-2</v>
      </c>
      <c r="CS23" s="85">
        <f t="shared" si="49"/>
        <v>0.52128891763759722</v>
      </c>
      <c r="CT23" s="59">
        <f t="shared" si="50"/>
        <v>5400</v>
      </c>
      <c r="CU23" s="59">
        <f t="shared" si="16"/>
        <v>12816.987476041597</v>
      </c>
      <c r="CV23" s="62">
        <f t="shared" si="17"/>
        <v>2.3735161992669624</v>
      </c>
      <c r="CW23" s="263">
        <f t="shared" si="18"/>
        <v>0.90684739337804521</v>
      </c>
      <c r="CX23" s="265">
        <f t="shared" si="51"/>
        <v>2.6173241487758756</v>
      </c>
      <c r="CY23" s="64">
        <f t="shared" si="19"/>
        <v>1</v>
      </c>
      <c r="CZ23" s="62">
        <f t="shared" si="20"/>
        <v>23.019864021629679</v>
      </c>
      <c r="DA23" s="264">
        <v>1</v>
      </c>
      <c r="DB23" s="70">
        <f t="shared" si="52"/>
        <v>2.2586249999999999</v>
      </c>
      <c r="DC23" s="66">
        <f t="shared" si="21"/>
        <v>0</v>
      </c>
      <c r="DD23" s="91">
        <f t="shared" si="22"/>
        <v>0</v>
      </c>
      <c r="DE23" s="23">
        <f t="shared" si="23"/>
        <v>-5.0125418235442863E-3</v>
      </c>
      <c r="DF23" s="28">
        <f t="shared" si="24"/>
        <v>-5.0125418235442863E-3</v>
      </c>
      <c r="DG23" s="28"/>
      <c r="DH23" s="270">
        <f t="shared" si="69"/>
        <v>24587.109072117342</v>
      </c>
      <c r="DI23" s="178">
        <f t="shared" si="25"/>
        <v>17210.976350482139</v>
      </c>
      <c r="DJ23" s="178">
        <f t="shared" si="70"/>
        <v>15047.602148765414</v>
      </c>
      <c r="DK23" s="116">
        <f t="shared" si="71"/>
        <v>0</v>
      </c>
      <c r="DL23" s="13">
        <f t="shared" si="54"/>
        <v>24587.109072117342</v>
      </c>
      <c r="DM23" s="199">
        <f t="shared" si="55"/>
        <v>1804.6733222179864</v>
      </c>
      <c r="DN23" s="107">
        <f t="shared" si="26"/>
        <v>22782.435749899356</v>
      </c>
      <c r="DO23" s="182">
        <f>'Immigration de varroas'!E30</f>
        <v>0</v>
      </c>
      <c r="DP23" s="109">
        <f t="shared" si="56"/>
        <v>-4362.3013165455741</v>
      </c>
      <c r="DQ23" s="82">
        <f t="shared" si="64"/>
        <v>-4362.3013165455741</v>
      </c>
      <c r="DR23" s="198">
        <f t="shared" si="27"/>
        <v>18420.134433353782</v>
      </c>
      <c r="DS23" s="278">
        <f>FE$33</f>
        <v>0</v>
      </c>
      <c r="DT23" s="107">
        <f t="shared" si="57"/>
        <v>0</v>
      </c>
      <c r="DU23" s="79">
        <f t="shared" si="28"/>
        <v>18420.134433353782</v>
      </c>
      <c r="DV23" s="23">
        <f t="shared" si="29"/>
        <v>-1.8988139513703428E-2</v>
      </c>
      <c r="DW23" s="158">
        <f t="shared" si="30"/>
        <v>40817</v>
      </c>
      <c r="DX23" s="74">
        <f t="shared" si="31"/>
        <v>11770.121596075747</v>
      </c>
      <c r="DY23" s="23">
        <f t="shared" si="32"/>
        <v>0.39233738653585826</v>
      </c>
      <c r="DZ23" s="114">
        <f t="shared" si="33"/>
        <v>123.58627675879535</v>
      </c>
      <c r="EA23" s="179" t="str">
        <f>IF((BS23&lt;0.25),EA22,IF(EA22=100,100,IF(CW21&gt;$AH$53,100,"")))</f>
        <v/>
      </c>
      <c r="EB23" s="179" t="str">
        <f t="shared" si="67"/>
        <v/>
      </c>
      <c r="EC23" s="179"/>
      <c r="ED23">
        <f t="shared" si="68"/>
        <v>0</v>
      </c>
      <c r="EE23" s="13">
        <f t="shared" si="58"/>
        <v>12318.75</v>
      </c>
      <c r="EF23" s="14">
        <f t="shared" si="59"/>
        <v>1200</v>
      </c>
      <c r="EG23" s="13">
        <f t="shared" si="60"/>
        <v>11118.75</v>
      </c>
      <c r="EH23" s="13">
        <f t="shared" si="65"/>
        <v>731.09589041095887</v>
      </c>
      <c r="EI23" s="17">
        <f t="shared" si="61"/>
        <v>1</v>
      </c>
      <c r="EJ23" s="197">
        <f t="shared" si="62"/>
        <v>4362.3013165455741</v>
      </c>
      <c r="EL23" s="13">
        <f t="shared" si="63"/>
        <v>0</v>
      </c>
      <c r="EM23" s="131">
        <f>FE$58</f>
        <v>7723.5720092716092</v>
      </c>
      <c r="EN23" s="31">
        <f>FD$60</f>
        <v>0.1436127185330007</v>
      </c>
      <c r="ER23" s="2">
        <v>40817</v>
      </c>
      <c r="ES23" s="193">
        <v>43191</v>
      </c>
    </row>
    <row r="24" spans="2:166" ht="16" customHeight="1">
      <c r="B24" s="291" t="s">
        <v>117</v>
      </c>
      <c r="C24" s="292">
        <v>1000</v>
      </c>
      <c r="D24" s="293">
        <f>'Densité ajustée'!BC6</f>
        <v>0</v>
      </c>
      <c r="E24" s="293">
        <f>'Densité ajustée'!BC7</f>
        <v>0</v>
      </c>
      <c r="F24" s="293">
        <f>'Densité ajustée'!BC8</f>
        <v>0</v>
      </c>
      <c r="G24" s="293">
        <f>'Densité ajustée'!BC9</f>
        <v>0</v>
      </c>
      <c r="H24" s="293">
        <f>'Densité ajustée'!BC10</f>
        <v>0</v>
      </c>
      <c r="I24" s="293">
        <f>'Densité ajustée'!BC11</f>
        <v>0</v>
      </c>
      <c r="J24" s="293">
        <f>'Densité ajustée'!BC12</f>
        <v>0</v>
      </c>
      <c r="K24" s="293">
        <f>'Densité ajustée'!BC13</f>
        <v>0</v>
      </c>
      <c r="L24" s="293">
        <f>'Densité ajustée'!BC14</f>
        <v>0</v>
      </c>
      <c r="M24" s="293">
        <f>'Densité ajustée'!BC15</f>
        <v>0</v>
      </c>
      <c r="N24" s="293">
        <f>'Densité ajustée'!BC16</f>
        <v>0</v>
      </c>
      <c r="O24" s="293">
        <f>'Densité ajustée'!BC17</f>
        <v>0</v>
      </c>
      <c r="P24" s="293">
        <f>'Densité ajustée'!BC18</f>
        <v>0</v>
      </c>
      <c r="Q24" s="293">
        <f>'Densité ajustée'!BC19</f>
        <v>0</v>
      </c>
      <c r="R24" s="293">
        <f>'Densité ajustée'!BC20</f>
        <v>0</v>
      </c>
      <c r="S24" s="293">
        <f>'Densité ajustée'!BC21</f>
        <v>0</v>
      </c>
      <c r="T24" s="293">
        <f>'Densité ajustée'!BC22</f>
        <v>0</v>
      </c>
      <c r="U24" s="293">
        <f>'Densité ajustée'!BC23</f>
        <v>0</v>
      </c>
      <c r="V24" s="293" t="str">
        <f>'Densité ajustée'!BC24</f>
        <v/>
      </c>
      <c r="W24" s="293" t="str">
        <f>'Densité ajustée'!BC25</f>
        <v/>
      </c>
      <c r="X24" s="293" t="str">
        <f>'Densité ajustée'!BC26</f>
        <v/>
      </c>
      <c r="Y24" s="293" t="str">
        <f>'Densité ajustée'!BC27</f>
        <v/>
      </c>
      <c r="Z24" s="304">
        <f>SUM(D24:Y24)</f>
        <v>0</v>
      </c>
      <c r="AA24" s="305" t="s">
        <v>118</v>
      </c>
      <c r="AB24" s="461"/>
      <c r="AC24" s="461"/>
      <c r="AD24">
        <v>4</v>
      </c>
      <c r="AE24" s="219"/>
      <c r="AF24" s="219"/>
      <c r="AZ24" s="288">
        <f t="shared" si="34"/>
        <v>40831</v>
      </c>
      <c r="BA24" s="48" t="str">
        <f t="shared" si="0"/>
        <v/>
      </c>
      <c r="BB24" s="222" t="str">
        <f t="shared" si="35"/>
        <v/>
      </c>
      <c r="BC24" s="173" t="str">
        <f t="shared" si="1"/>
        <v/>
      </c>
      <c r="BD24" s="99" t="str">
        <f t="shared" si="36"/>
        <v/>
      </c>
      <c r="BE24" s="4" t="str">
        <f t="shared" si="2"/>
        <v/>
      </c>
      <c r="BF24" s="3" t="str">
        <f t="shared" si="3"/>
        <v/>
      </c>
      <c r="BG24" s="400" t="s">
        <v>119</v>
      </c>
      <c r="BH24" s="417" t="s">
        <v>120</v>
      </c>
      <c r="BI24" s="418"/>
      <c r="BJ24" s="418"/>
      <c r="BK24" s="418"/>
      <c r="BL24" s="419"/>
      <c r="BN24" s="392"/>
      <c r="BO24" s="158">
        <f t="shared" si="37"/>
        <v>40831</v>
      </c>
      <c r="BP24" s="373">
        <f>IF($AZ$32="d",'Profils de colonie'!I50,IF($AZ$32="n",'Profils de colonie'!I78,IF($AZ$32="p",'Profils de colonie'!I106,IF($AZ$32="a",'Profils de colonie'!I134,IF($AZ$32="b",'Profils de colonie'!I162,IF($AZ$32="c",'Profils de colonie'!I190,IF($AZ$32="r",'Profils de colonie'!I218,IF($AZ$32="s",'Profils de colonie'!I246,IF($AZ$32="f",'Profils de colonie'!I274,"erreur")))))))))</f>
        <v>12</v>
      </c>
      <c r="BQ24" s="141">
        <v>2000</v>
      </c>
      <c r="BR24">
        <f t="shared" si="38"/>
        <v>24000</v>
      </c>
      <c r="BS24" s="68">
        <f>IF($AZ$32="d",'Profils de colonie'!G50,IF($AZ$32="n",'Profils de colonie'!G78,IF($AZ$32="p",'Profils de colonie'!G106,IF($AZ$32="a",'Profils de colonie'!G134,IF($AZ$32="b",'Profils de colonie'!G162,IF($AZ$32="c",'Profils de colonie'!G190,IF($AZ$32="r",'Profils de colonie'!G218,IF($AZ$32="s",'Profils de colonie'!G246,IF($AZ$32="f",'Profils de colonie'!G274,"erreur")))))))))</f>
        <v>0.5</v>
      </c>
      <c r="BT24" s="13">
        <f t="shared" si="4"/>
        <v>2250</v>
      </c>
      <c r="BU24" s="17">
        <f t="shared" si="5"/>
        <v>9.375E-2</v>
      </c>
      <c r="BV24">
        <f t="shared" si="39"/>
        <v>1350</v>
      </c>
      <c r="BW24" s="14">
        <f t="shared" si="40"/>
        <v>1345.3834131795281</v>
      </c>
      <c r="BX24" s="14">
        <f t="shared" si="6"/>
        <v>112.5</v>
      </c>
      <c r="BY24" s="89">
        <f t="shared" si="41"/>
        <v>16.835618070658086</v>
      </c>
      <c r="BZ24" s="21">
        <f t="shared" si="7"/>
        <v>28.835618070658086</v>
      </c>
      <c r="CA24" s="26">
        <f t="shared" si="8"/>
        <v>0.58384800455480101</v>
      </c>
      <c r="CB24" s="345">
        <f t="shared" si="9"/>
        <v>0.41615199544519899</v>
      </c>
      <c r="CC24" s="343">
        <f t="shared" si="42"/>
        <v>5.6250000000000001E-2</v>
      </c>
      <c r="CD24" s="343"/>
      <c r="CE24" s="22">
        <f t="shared" si="10"/>
        <v>7665.5757008089959</v>
      </c>
      <c r="CF24" s="5">
        <f t="shared" si="11"/>
        <v>1350</v>
      </c>
      <c r="CG24" s="67">
        <f>IF($AZ$32="d",'Profils de colonie'!K50,IF($AZ$32="n",'Profils de colonie'!K78,IF($AZ$32="p",'Profils de colonie'!K106,IF($AZ$32="a",'Profils de colonie'!K134,IF($AZ$32="b",'Profils de colonie'!K162,IF($AZ$32="c",'Profils de colonie'!K190,IF($AZ$32="r",'Profils de colonie'!K218,IF($AZ$32="s",'Profils de colonie'!K218,IF($AZ$32="f",'Profils de colonie'!K274,"erreur")))))))))</f>
        <v>0</v>
      </c>
      <c r="CH24" s="87">
        <f t="shared" si="43"/>
        <v>0</v>
      </c>
      <c r="CI24" s="63">
        <f t="shared" si="44"/>
        <v>0</v>
      </c>
      <c r="CJ24" s="84">
        <f t="shared" si="45"/>
        <v>0</v>
      </c>
      <c r="CK24" s="60">
        <f t="shared" si="12"/>
        <v>0</v>
      </c>
      <c r="CL24" s="61">
        <f t="shared" si="46"/>
        <v>0</v>
      </c>
      <c r="CM24" s="266">
        <f t="shared" si="13"/>
        <v>0</v>
      </c>
      <c r="CN24" s="267">
        <f t="shared" si="47"/>
        <v>0</v>
      </c>
      <c r="CO24" s="61">
        <f t="shared" si="14"/>
        <v>31.835618070658086</v>
      </c>
      <c r="CP24" s="265">
        <v>1</v>
      </c>
      <c r="CQ24" s="71">
        <f t="shared" si="15"/>
        <v>4.2749999999999995</v>
      </c>
      <c r="CR24" s="65">
        <f t="shared" si="48"/>
        <v>9.8493837450082944E-2</v>
      </c>
      <c r="CS24" s="85">
        <f t="shared" si="49"/>
        <v>0.41615199544519899</v>
      </c>
      <c r="CT24" s="59">
        <f t="shared" si="50"/>
        <v>1350</v>
      </c>
      <c r="CU24" s="59">
        <f t="shared" si="16"/>
        <v>7665.5757008089959</v>
      </c>
      <c r="CV24" s="62">
        <f t="shared" si="17"/>
        <v>5.6782042228214786</v>
      </c>
      <c r="CW24" s="263">
        <f t="shared" si="18"/>
        <v>0.99658030605890979</v>
      </c>
      <c r="CX24" s="265">
        <f t="shared" si="51"/>
        <v>5.6976828566818707</v>
      </c>
      <c r="CY24" s="64">
        <f t="shared" si="19"/>
        <v>1</v>
      </c>
      <c r="CZ24" s="62">
        <f t="shared" si="20"/>
        <v>28.835618070658086</v>
      </c>
      <c r="DA24" s="264">
        <v>1</v>
      </c>
      <c r="DB24" s="70">
        <f t="shared" si="52"/>
        <v>2.2586249999999999</v>
      </c>
      <c r="DC24" s="66">
        <f t="shared" si="21"/>
        <v>0</v>
      </c>
      <c r="DD24" s="91">
        <f t="shared" si="22"/>
        <v>0</v>
      </c>
      <c r="DE24" s="23">
        <f t="shared" si="23"/>
        <v>-5.0125418235442863E-3</v>
      </c>
      <c r="DF24" s="28">
        <f t="shared" si="24"/>
        <v>-5.0125418235442863E-3</v>
      </c>
      <c r="DG24" s="28"/>
      <c r="DH24" s="270">
        <f t="shared" si="69"/>
        <v>18420.134433353782</v>
      </c>
      <c r="DI24" s="178">
        <f t="shared" si="25"/>
        <v>12894.094103347647</v>
      </c>
      <c r="DJ24" s="178">
        <f t="shared" si="70"/>
        <v>11042.338196145556</v>
      </c>
      <c r="DK24" s="116">
        <f t="shared" si="71"/>
        <v>0</v>
      </c>
      <c r="DL24" s="13">
        <f t="shared" si="54"/>
        <v>18420.134433353782</v>
      </c>
      <c r="DM24" s="199">
        <f t="shared" si="55"/>
        <v>1352.0225214781531</v>
      </c>
      <c r="DN24" s="107">
        <f t="shared" si="26"/>
        <v>17068.111911875629</v>
      </c>
      <c r="DO24" s="182">
        <f>'Immigration de varroas'!E31</f>
        <v>0</v>
      </c>
      <c r="DP24" s="109">
        <f t="shared" si="56"/>
        <v>-5448.6963578556979</v>
      </c>
      <c r="DQ24" s="82">
        <f t="shared" si="64"/>
        <v>-5448.6963578556979</v>
      </c>
      <c r="DR24" s="198">
        <f t="shared" si="27"/>
        <v>11619.415554019932</v>
      </c>
      <c r="DS24" s="278">
        <f>FF$33</f>
        <v>0</v>
      </c>
      <c r="DT24" s="107">
        <f t="shared" si="57"/>
        <v>0</v>
      </c>
      <c r="DU24" s="79">
        <f t="shared" si="28"/>
        <v>11619.415554019932</v>
      </c>
      <c r="DV24" s="23">
        <f t="shared" si="29"/>
        <v>-3.0297000027964746E-2</v>
      </c>
      <c r="DW24" s="158">
        <f t="shared" si="30"/>
        <v>40831</v>
      </c>
      <c r="DX24" s="74">
        <f t="shared" si="31"/>
        <v>10754.558732544785</v>
      </c>
      <c r="DY24" s="23">
        <f t="shared" si="32"/>
        <v>0.44810661385603273</v>
      </c>
      <c r="DZ24" s="114">
        <f t="shared" si="33"/>
        <v>141.1535833646503</v>
      </c>
      <c r="EA24" s="179">
        <f t="shared" si="66"/>
        <v>100</v>
      </c>
      <c r="EB24" s="179" t="str">
        <f t="shared" si="67"/>
        <v/>
      </c>
      <c r="EC24" s="179">
        <f t="shared" ref="EC24:EC29" si="72">IF(DZ$22&gt;60,100,0)</f>
        <v>100</v>
      </c>
      <c r="ED24">
        <f t="shared" si="68"/>
        <v>200</v>
      </c>
      <c r="EE24" s="13">
        <f t="shared" si="58"/>
        <v>6159.375</v>
      </c>
      <c r="EF24" s="14">
        <f t="shared" si="59"/>
        <v>-6000</v>
      </c>
      <c r="EG24" s="13">
        <f t="shared" si="60"/>
        <v>12159.375</v>
      </c>
      <c r="EH24" s="13">
        <f t="shared" si="65"/>
        <v>799.52054794520541</v>
      </c>
      <c r="EI24" s="17">
        <f t="shared" si="61"/>
        <v>1</v>
      </c>
      <c r="EJ24" s="197">
        <f t="shared" si="62"/>
        <v>5448.6963578556979</v>
      </c>
      <c r="EL24" s="13">
        <f t="shared" si="63"/>
        <v>0</v>
      </c>
      <c r="EM24" s="131">
        <f>FF$58</f>
        <v>10723.33892395182</v>
      </c>
      <c r="EN24" s="31">
        <f>FE$60</f>
        <v>0.226857663038812</v>
      </c>
      <c r="ER24" s="2">
        <v>40831</v>
      </c>
      <c r="ES24" s="193">
        <v>43205</v>
      </c>
      <c r="EV24">
        <v>25.83</v>
      </c>
    </row>
    <row r="25" spans="2:166" ht="16" customHeight="1">
      <c r="B25" s="153" t="s">
        <v>37</v>
      </c>
      <c r="C25" s="297" t="s">
        <v>121</v>
      </c>
      <c r="D25" s="297">
        <f>1-'Densité ajustée'!BF6</f>
        <v>0.39637935950910275</v>
      </c>
      <c r="E25" s="297">
        <f>1-'Densité ajustée'!BF7</f>
        <v>0.41542803120999716</v>
      </c>
      <c r="F25" s="297">
        <f>1-'Densité ajustée'!BF8</f>
        <v>0.49765046718327932</v>
      </c>
      <c r="G25" s="297">
        <f>1-'Densité ajustée'!BF9</f>
        <v>0.52921954133048477</v>
      </c>
      <c r="H25" s="297">
        <f>1-'Densité ajustée'!BF10</f>
        <v>0.65081532324296698</v>
      </c>
      <c r="I25" s="297">
        <f>1-'Densité ajustée'!BF11</f>
        <v>0.73121308739562751</v>
      </c>
      <c r="J25" s="297">
        <f>1-'Densité ajustée'!BF12</f>
        <v>0.78455129248541799</v>
      </c>
      <c r="K25" s="297">
        <f>1-'Densité ajustée'!BF13</f>
        <v>0.75112537656379341</v>
      </c>
      <c r="L25" s="297">
        <f>1-'Densité ajustée'!BF14</f>
        <v>0.72290086548619348</v>
      </c>
      <c r="M25" s="297">
        <f>1-'Densité ajustée'!BF15</f>
        <v>0.71333988873644316</v>
      </c>
      <c r="N25" s="297">
        <f>1-'Densité ajustée'!BF16</f>
        <v>0.69532262801044198</v>
      </c>
      <c r="O25" s="297">
        <f>1-'Densité ajustée'!BF17</f>
        <v>0.69273295284705538</v>
      </c>
      <c r="P25" s="297">
        <f>1-'Densité ajustée'!BF18</f>
        <v>0.68466566827566644</v>
      </c>
      <c r="Q25" s="297">
        <f>1-'Densité ajustée'!BF19</f>
        <v>0.63273742496946817</v>
      </c>
      <c r="R25" s="297">
        <f>1-'Densité ajustée'!BF20</f>
        <v>0.60957908854226561</v>
      </c>
      <c r="S25" s="297">
        <f>1-'Densité ajustée'!BF21</f>
        <v>0.59148232285637481</v>
      </c>
      <c r="T25" s="297">
        <f>1-'Densité ajustée'!BF22</f>
        <v>0.62015445718529216</v>
      </c>
      <c r="U25" s="297">
        <f>1-'Densité ajustée'!BF23</f>
        <v>0.52128891763759722</v>
      </c>
      <c r="V25" s="297" t="e">
        <f>1-'Densité ajustée'!BF24</f>
        <v>#VALUE!</v>
      </c>
      <c r="W25" s="297" t="e">
        <f>1-'Densité ajustée'!BF25</f>
        <v>#VALUE!</v>
      </c>
      <c r="X25" s="297" t="e">
        <f>1-'Densité ajustée'!BF26</f>
        <v>#VALUE!</v>
      </c>
      <c r="Y25" s="297" t="e">
        <f>1-'Densité ajustée'!BF27</f>
        <v>#VALUE!</v>
      </c>
      <c r="Z25" s="297" t="e">
        <f>1-'Densité ajustée'!BF28</f>
        <v>#VALUE!</v>
      </c>
      <c r="AA25" s="298" t="e">
        <f>1-'Densité ajustée'!BF29</f>
        <v>#VALUE!</v>
      </c>
      <c r="AB25" s="461"/>
      <c r="AC25" s="461"/>
      <c r="AE25" s="219"/>
      <c r="AF25" s="219"/>
      <c r="AG25" s="445" t="s">
        <v>122</v>
      </c>
      <c r="AH25" s="445"/>
      <c r="AI25" s="445"/>
      <c r="AJ25" s="445"/>
      <c r="AK25" s="445"/>
      <c r="AL25" s="445"/>
      <c r="AM25" s="445"/>
      <c r="AN25" s="445"/>
      <c r="AO25" s="445"/>
      <c r="AP25" s="445"/>
      <c r="AQ25" s="445"/>
      <c r="AR25" s="445"/>
      <c r="AS25" s="445"/>
      <c r="AT25" s="445"/>
      <c r="AU25" s="445"/>
      <c r="AV25" s="446"/>
      <c r="AW25" s="447">
        <f>LN(BA22/BA12)/(AZ22-AZ12)</f>
        <v>2.4197961912104403E-2</v>
      </c>
      <c r="AX25" s="447"/>
      <c r="AZ25" s="288">
        <f t="shared" si="34"/>
        <v>40848</v>
      </c>
      <c r="BA25" s="48" t="str">
        <f t="shared" si="0"/>
        <v/>
      </c>
      <c r="BB25" s="222" t="str">
        <f t="shared" si="35"/>
        <v/>
      </c>
      <c r="BC25" s="173" t="str">
        <f t="shared" si="1"/>
        <v/>
      </c>
      <c r="BD25" s="99" t="str">
        <f t="shared" si="36"/>
        <v/>
      </c>
      <c r="BE25" s="4" t="str">
        <f t="shared" si="2"/>
        <v/>
      </c>
      <c r="BF25" s="3" t="str">
        <f t="shared" si="3"/>
        <v/>
      </c>
      <c r="BG25" s="401"/>
      <c r="BH25" s="420"/>
      <c r="BI25" s="421"/>
      <c r="BJ25" s="421"/>
      <c r="BK25" s="421"/>
      <c r="BL25" s="422"/>
      <c r="BN25" s="392"/>
      <c r="BO25" s="158">
        <f t="shared" si="37"/>
        <v>40848</v>
      </c>
      <c r="BP25" s="373">
        <f>IF($AZ$32="d",'Profils de colonie'!I51,IF($AZ$32="n",'Profils de colonie'!I79,IF($AZ$32="p",'Profils de colonie'!I107,IF($AZ$32="a",'Profils de colonie'!I135,IF($AZ$32="b",'Profils de colonie'!I163,IF($AZ$32="c",'Profils de colonie'!I191,IF($AZ$32="r",'Profils de colonie'!I219,IF($AZ$32="s",'Profils de colonie'!I247,IF($AZ$32="f",'Profils de colonie'!I275,"erreur")))))))))</f>
        <v>9</v>
      </c>
      <c r="BQ25" s="141">
        <v>2000</v>
      </c>
      <c r="BR25">
        <f t="shared" si="38"/>
        <v>18000</v>
      </c>
      <c r="BS25" s="68">
        <f>IF($AZ$32="d",'Profils de colonie'!G51,IF($AZ$32="n",'Profils de colonie'!G79,IF($AZ$32="p",'Profils de colonie'!G107,IF($AZ$32="a",'Profils de colonie'!G135,IF($AZ$32="b",'Profils de colonie'!G163,IF($AZ$32="c",'Profils de colonie'!G191,IF($AZ$32="r",'Profils de colonie'!G219,IF($AZ$32="s",'Profils de colonie'!G247,IF($AZ$32="f",'Profils de colonie'!G275,"erreur")))))))))</f>
        <v>0.25</v>
      </c>
      <c r="BT25" s="13">
        <f t="shared" si="4"/>
        <v>1125</v>
      </c>
      <c r="BU25" s="17">
        <f t="shared" si="5"/>
        <v>6.25E-2</v>
      </c>
      <c r="BV25">
        <f t="shared" si="39"/>
        <v>675</v>
      </c>
      <c r="BW25" s="14">
        <f t="shared" si="40"/>
        <v>674.16334425298055</v>
      </c>
      <c r="BX25" s="14">
        <f t="shared" si="6"/>
        <v>56.25</v>
      </c>
      <c r="BY25" s="89">
        <f t="shared" si="41"/>
        <v>18.862943611198908</v>
      </c>
      <c r="BZ25" s="21">
        <f t="shared" si="7"/>
        <v>30.862943611198908</v>
      </c>
      <c r="CA25" s="26">
        <f t="shared" si="8"/>
        <v>0.61118420358174497</v>
      </c>
      <c r="CB25" s="345">
        <f t="shared" si="9"/>
        <v>0.38881579641825503</v>
      </c>
      <c r="CC25" s="343">
        <f t="shared" si="42"/>
        <v>3.7499999999999999E-2</v>
      </c>
      <c r="CD25" s="343"/>
      <c r="CE25" s="22">
        <f t="shared" si="10"/>
        <v>4517.8123125509201</v>
      </c>
      <c r="CF25" s="5">
        <f t="shared" si="11"/>
        <v>675</v>
      </c>
      <c r="CG25" s="67">
        <f>IF($AZ$32="d",'Profils de colonie'!K51,IF($AZ$32="n",'Profils de colonie'!K79,IF($AZ$32="p",'Profils de colonie'!K107,IF($AZ$32="a",'Profils de colonie'!K135,IF($AZ$32="b",'Profils de colonie'!K163,IF($AZ$32="c",'Profils de colonie'!K191,IF($AZ$32="r",'Profils de colonie'!K219,IF($AZ$32="s",'Profils de colonie'!K219,IF($AZ$32="f",'Profils de colonie'!K275,"erreur")))))))))</f>
        <v>0</v>
      </c>
      <c r="CH25" s="87">
        <f t="shared" si="43"/>
        <v>0</v>
      </c>
      <c r="CI25" s="63">
        <f t="shared" si="44"/>
        <v>0</v>
      </c>
      <c r="CJ25" s="84">
        <f t="shared" si="45"/>
        <v>0</v>
      </c>
      <c r="CK25" s="60">
        <f t="shared" si="12"/>
        <v>0</v>
      </c>
      <c r="CL25" s="61">
        <f t="shared" si="46"/>
        <v>0</v>
      </c>
      <c r="CM25" s="266">
        <f t="shared" si="13"/>
        <v>0</v>
      </c>
      <c r="CN25" s="267">
        <f t="shared" si="47"/>
        <v>0</v>
      </c>
      <c r="CO25" s="61">
        <f t="shared" si="14"/>
        <v>33.862943611198908</v>
      </c>
      <c r="CP25" s="265">
        <v>1</v>
      </c>
      <c r="CQ25" s="71">
        <f t="shared" si="15"/>
        <v>4.2749999999999995</v>
      </c>
      <c r="CR25" s="65">
        <f t="shared" si="48"/>
        <v>9.8493837450082944E-2</v>
      </c>
      <c r="CS25" s="85">
        <f t="shared" si="49"/>
        <v>0.38881579641825503</v>
      </c>
      <c r="CT25" s="59">
        <f t="shared" si="50"/>
        <v>675</v>
      </c>
      <c r="CU25" s="59">
        <f t="shared" si="16"/>
        <v>4517.8123125509201</v>
      </c>
      <c r="CV25" s="62">
        <f t="shared" si="17"/>
        <v>6.6930552778532153</v>
      </c>
      <c r="CW25" s="263">
        <f t="shared" si="18"/>
        <v>0.99876051000441557</v>
      </c>
      <c r="CX25" s="265">
        <f t="shared" si="51"/>
        <v>6.7013548387779025</v>
      </c>
      <c r="CY25" s="64">
        <f t="shared" si="19"/>
        <v>1</v>
      </c>
      <c r="CZ25" s="62">
        <f t="shared" si="20"/>
        <v>30.862943611198908</v>
      </c>
      <c r="DA25" s="264">
        <v>1</v>
      </c>
      <c r="DB25" s="70">
        <f t="shared" si="52"/>
        <v>2.2586249999999999</v>
      </c>
      <c r="DC25" s="66">
        <f t="shared" si="21"/>
        <v>0</v>
      </c>
      <c r="DD25" s="91">
        <f t="shared" si="22"/>
        <v>0</v>
      </c>
      <c r="DE25" s="23">
        <f t="shared" si="23"/>
        <v>-5.0125418235442863E-3</v>
      </c>
      <c r="DF25" s="28">
        <f t="shared" si="24"/>
        <v>-5.0125418235442863E-3</v>
      </c>
      <c r="DG25" s="28"/>
      <c r="DH25" s="270">
        <f t="shared" si="69"/>
        <v>11619.415554019932</v>
      </c>
      <c r="DI25" s="178">
        <f t="shared" si="25"/>
        <v>8133.5908878139517</v>
      </c>
      <c r="DJ25" s="178">
        <f t="shared" si="70"/>
        <v>6288.4234668907029</v>
      </c>
      <c r="DK25" s="116">
        <f t="shared" si="71"/>
        <v>0</v>
      </c>
      <c r="DL25" s="13">
        <f t="shared" si="54"/>
        <v>11619.415554019932</v>
      </c>
      <c r="DM25" s="199">
        <f t="shared" si="55"/>
        <v>852.85542145678119</v>
      </c>
      <c r="DN25" s="107">
        <f t="shared" si="26"/>
        <v>10766.560132563151</v>
      </c>
      <c r="DO25" s="182">
        <f>'Immigration de varroas'!E32</f>
        <v>0</v>
      </c>
      <c r="DP25" s="109">
        <f t="shared" si="56"/>
        <v>-2974.721045287215</v>
      </c>
      <c r="DQ25" s="82">
        <f t="shared" si="64"/>
        <v>-2974.721045287215</v>
      </c>
      <c r="DR25" s="198">
        <f t="shared" si="27"/>
        <v>7791.8390872759355</v>
      </c>
      <c r="DS25" s="278">
        <f>FG$33</f>
        <v>0</v>
      </c>
      <c r="DT25" s="107">
        <f t="shared" si="57"/>
        <v>0</v>
      </c>
      <c r="DU25" s="79">
        <f t="shared" si="28"/>
        <v>7791.8390872759355</v>
      </c>
      <c r="DV25" s="23">
        <f t="shared" si="29"/>
        <v>-2.6275103900900189E-2</v>
      </c>
      <c r="DW25" s="158">
        <f t="shared" si="30"/>
        <v>40848</v>
      </c>
      <c r="DX25" s="74">
        <f t="shared" si="31"/>
        <v>7101.6032414690117</v>
      </c>
      <c r="DY25" s="23">
        <f t="shared" si="32"/>
        <v>0.39453351341494508</v>
      </c>
      <c r="DZ25" s="114">
        <f t="shared" si="33"/>
        <v>124.2780567257077</v>
      </c>
      <c r="EA25" s="179">
        <f t="shared" si="66"/>
        <v>100</v>
      </c>
      <c r="EB25" s="179" t="str">
        <f t="shared" si="67"/>
        <v/>
      </c>
      <c r="EC25" s="179">
        <f t="shared" si="72"/>
        <v>100</v>
      </c>
      <c r="ED25">
        <f t="shared" si="68"/>
        <v>200</v>
      </c>
      <c r="EE25" s="13">
        <f t="shared" si="58"/>
        <v>1539.84375</v>
      </c>
      <c r="EF25" s="14">
        <f t="shared" si="59"/>
        <v>-6000</v>
      </c>
      <c r="EG25" s="13">
        <f t="shared" si="60"/>
        <v>7539.84375</v>
      </c>
      <c r="EH25" s="13">
        <f t="shared" si="65"/>
        <v>495.77054794520546</v>
      </c>
      <c r="EI25" s="17">
        <f t="shared" si="61"/>
        <v>1</v>
      </c>
      <c r="EJ25" s="197">
        <f t="shared" si="62"/>
        <v>2974.721045287215</v>
      </c>
      <c r="EL25" s="13">
        <f t="shared" si="63"/>
        <v>0</v>
      </c>
      <c r="EM25" s="131">
        <f>FG$58</f>
        <v>14748.56051836689</v>
      </c>
      <c r="EN25" s="31">
        <f>FF$60</f>
        <v>0.33956199411631693</v>
      </c>
      <c r="ER25" s="2">
        <v>40848</v>
      </c>
      <c r="ES25" s="193">
        <v>43221</v>
      </c>
    </row>
    <row r="26" spans="2:166" ht="16.19" customHeight="1">
      <c r="B26" s="289"/>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s="289"/>
      <c r="AB26" s="289"/>
      <c r="AC26" s="289"/>
      <c r="AE26" s="219"/>
      <c r="AF26" s="219"/>
      <c r="AG26" s="448" t="s">
        <v>123</v>
      </c>
      <c r="AH26" s="448"/>
      <c r="AI26" s="448"/>
      <c r="AJ26" s="448"/>
      <c r="AK26" s="448"/>
      <c r="AL26" s="448"/>
      <c r="AM26" s="448"/>
      <c r="AN26" s="448"/>
      <c r="AO26" s="448"/>
      <c r="AP26" s="448"/>
      <c r="AQ26" s="448"/>
      <c r="AR26" s="448"/>
      <c r="AS26" s="448"/>
      <c r="AT26" s="448"/>
      <c r="AU26" s="448"/>
      <c r="AV26" s="449"/>
      <c r="AW26" s="450" t="s">
        <v>124</v>
      </c>
      <c r="AX26" s="451"/>
      <c r="AZ26" s="288">
        <f t="shared" si="34"/>
        <v>40862</v>
      </c>
      <c r="BA26" s="48" t="str">
        <f t="shared" si="0"/>
        <v/>
      </c>
      <c r="BB26" s="222" t="str">
        <f t="shared" si="35"/>
        <v/>
      </c>
      <c r="BC26" s="173" t="str">
        <f t="shared" si="1"/>
        <v/>
      </c>
      <c r="BD26" s="99" t="str">
        <f t="shared" si="36"/>
        <v/>
      </c>
      <c r="BE26" s="4" t="str">
        <f t="shared" si="2"/>
        <v/>
      </c>
      <c r="BF26" s="3" t="str">
        <f t="shared" si="3"/>
        <v/>
      </c>
      <c r="BG26" s="381" t="s">
        <v>125</v>
      </c>
      <c r="BH26" s="423" t="s">
        <v>126</v>
      </c>
      <c r="BI26" s="424"/>
      <c r="BJ26" s="424"/>
      <c r="BK26" s="424"/>
      <c r="BL26" s="425"/>
      <c r="BN26" s="392"/>
      <c r="BO26" s="158">
        <f t="shared" si="37"/>
        <v>40862</v>
      </c>
      <c r="BP26" s="373">
        <f>IF($AZ$32="d",'Profils de colonie'!I52,IF($AZ$32="n",'Profils de colonie'!I80,IF($AZ$32="p",'Profils de colonie'!I108,IF($AZ$32="a",'Profils de colonie'!I136,IF($AZ$32="b",'Profils de colonie'!I164,IF($AZ$32="c",'Profils de colonie'!I192,IF($AZ$32="r",'Profils de colonie'!I220,IF($AZ$32="s",'Profils de colonie'!I248,IF($AZ$32="f",'Profils de colonie'!I276,"erreur")))))))))</f>
        <v>8.5</v>
      </c>
      <c r="BQ26" s="141">
        <v>2000</v>
      </c>
      <c r="BR26">
        <f t="shared" si="38"/>
        <v>17000</v>
      </c>
      <c r="BS26" s="68">
        <f>IF($AZ$32="d",'Profils de colonie'!G52,IF($AZ$32="n",'Profils de colonie'!G80,IF($AZ$32="p",'Profils de colonie'!G108,IF($AZ$32="a",'Profils de colonie'!G136,IF($AZ$32="b",'Profils de colonie'!G164,IF($AZ$32="c",'Profils de colonie'!G192,IF($AZ$32="r",'Profils de colonie'!G220,IF($AZ$32="s",'Profils de colonie'!G248,IF($AZ$32="f",'Profils de colonie'!G276,"erreur")))))))))</f>
        <v>0.125</v>
      </c>
      <c r="BT26" s="13">
        <f t="shared" si="4"/>
        <v>562.5</v>
      </c>
      <c r="BU26" s="17">
        <f t="shared" si="5"/>
        <v>3.3088235294117647E-2</v>
      </c>
      <c r="BV26">
        <f t="shared" si="39"/>
        <v>337.5</v>
      </c>
      <c r="BW26" s="14">
        <f t="shared" si="40"/>
        <v>337.40138162061749</v>
      </c>
      <c r="BX26" s="14">
        <f t="shared" si="6"/>
        <v>28.125</v>
      </c>
      <c r="BY26" s="89">
        <f t="shared" si="41"/>
        <v>22.04288744479889</v>
      </c>
      <c r="BZ26" s="21">
        <f t="shared" si="7"/>
        <v>34.042887444798893</v>
      </c>
      <c r="CA26" s="26">
        <f t="shared" si="8"/>
        <v>0.6475034610545829</v>
      </c>
      <c r="CB26" s="345">
        <f t="shared" si="9"/>
        <v>0.3524965389454171</v>
      </c>
      <c r="CC26" s="343">
        <f t="shared" si="42"/>
        <v>1.9852941176470587E-2</v>
      </c>
      <c r="CD26" s="343"/>
      <c r="CE26" s="22">
        <f t="shared" si="10"/>
        <v>2746.5963102843853</v>
      </c>
      <c r="CF26" s="5">
        <f t="shared" si="11"/>
        <v>337.5</v>
      </c>
      <c r="CG26" s="67">
        <f>IF($AZ$32="d",'Profils de colonie'!K52,IF($AZ$32="n",'Profils de colonie'!K80,IF($AZ$32="p",'Profils de colonie'!K108,IF($AZ$32="a",'Profils de colonie'!K136,IF($AZ$32="b",'Profils de colonie'!K164,IF($AZ$32="c",'Profils de colonie'!K192,IF($AZ$32="r",'Profils de colonie'!K220,IF($AZ$32="s",'Profils de colonie'!K220,IF($AZ$32="f",'Profils de colonie'!K276,"erreur")))))))))</f>
        <v>0</v>
      </c>
      <c r="CH26" s="87">
        <f t="shared" si="43"/>
        <v>0</v>
      </c>
      <c r="CI26" s="63">
        <f t="shared" si="44"/>
        <v>0</v>
      </c>
      <c r="CJ26" s="84">
        <f t="shared" si="45"/>
        <v>0</v>
      </c>
      <c r="CK26" s="60">
        <f t="shared" si="12"/>
        <v>0</v>
      </c>
      <c r="CL26" s="61">
        <f t="shared" si="46"/>
        <v>0</v>
      </c>
      <c r="CM26" s="266">
        <f t="shared" si="13"/>
        <v>0</v>
      </c>
      <c r="CN26" s="267">
        <f t="shared" si="47"/>
        <v>0</v>
      </c>
      <c r="CO26" s="61">
        <f t="shared" si="14"/>
        <v>37.042887444798893</v>
      </c>
      <c r="CP26" s="265">
        <v>1</v>
      </c>
      <c r="CQ26" s="71">
        <f t="shared" si="15"/>
        <v>4.2749999999999995</v>
      </c>
      <c r="CR26" s="65">
        <f t="shared" si="48"/>
        <v>9.8493837450082944E-2</v>
      </c>
      <c r="CS26" s="85">
        <f t="shared" si="49"/>
        <v>0.3524965389454171</v>
      </c>
      <c r="CT26" s="59">
        <f t="shared" si="50"/>
        <v>337.5</v>
      </c>
      <c r="CU26" s="59">
        <f t="shared" si="16"/>
        <v>2746.5963102843853</v>
      </c>
      <c r="CV26" s="62">
        <f t="shared" si="17"/>
        <v>8.1380631415833644</v>
      </c>
      <c r="CW26" s="263">
        <f t="shared" si="18"/>
        <v>0.99970779739442217</v>
      </c>
      <c r="CX26" s="265">
        <f t="shared" si="51"/>
        <v>8.140433657074837</v>
      </c>
      <c r="CY26" s="64">
        <f t="shared" si="19"/>
        <v>1</v>
      </c>
      <c r="CZ26" s="62">
        <f t="shared" si="20"/>
        <v>34.042887444798893</v>
      </c>
      <c r="DA26" s="264">
        <v>1</v>
      </c>
      <c r="DB26" s="70">
        <f t="shared" si="52"/>
        <v>2.2586249999999999</v>
      </c>
      <c r="DC26" s="66">
        <f t="shared" si="21"/>
        <v>0</v>
      </c>
      <c r="DD26" s="91">
        <f t="shared" si="22"/>
        <v>0</v>
      </c>
      <c r="DE26" s="23">
        <f t="shared" si="23"/>
        <v>-5.0125418235442863E-3</v>
      </c>
      <c r="DF26" s="28">
        <f t="shared" si="24"/>
        <v>-5.0125418235442863E-3</v>
      </c>
      <c r="DG26" s="28"/>
      <c r="DH26" s="270">
        <f t="shared" si="69"/>
        <v>7791.8390872759355</v>
      </c>
      <c r="DI26" s="178">
        <f t="shared" si="25"/>
        <v>5454.2873610931547</v>
      </c>
      <c r="DJ26" s="178">
        <f t="shared" si="70"/>
        <v>3602.2186682769393</v>
      </c>
      <c r="DK26" s="116">
        <f t="shared" si="71"/>
        <v>0</v>
      </c>
      <c r="DL26" s="13">
        <f t="shared" si="54"/>
        <v>7791.8390872759355</v>
      </c>
      <c r="DM26" s="199">
        <f t="shared" si="55"/>
        <v>571.9144975758345</v>
      </c>
      <c r="DN26" s="107">
        <f t="shared" si="26"/>
        <v>7219.924589700101</v>
      </c>
      <c r="DO26" s="182">
        <f>'Immigration de varroas'!E33</f>
        <v>0</v>
      </c>
      <c r="DP26" s="109">
        <f t="shared" si="56"/>
        <v>-525.27562092253481</v>
      </c>
      <c r="DQ26" s="82">
        <f t="shared" si="64"/>
        <v>-525.27562092253481</v>
      </c>
      <c r="DR26" s="198">
        <f t="shared" si="27"/>
        <v>6694.6489687775666</v>
      </c>
      <c r="DS26" s="278">
        <f>FH$33</f>
        <v>0</v>
      </c>
      <c r="DT26" s="107">
        <f t="shared" si="57"/>
        <v>0</v>
      </c>
      <c r="DU26" s="79">
        <f t="shared" si="28"/>
        <v>6694.6489687775666</v>
      </c>
      <c r="DV26" s="23">
        <f t="shared" si="29"/>
        <v>-9.9792900289001132E-3</v>
      </c>
      <c r="DW26" s="158">
        <f t="shared" si="30"/>
        <v>40862</v>
      </c>
      <c r="DX26" s="74">
        <f t="shared" si="31"/>
        <v>5045.2427769915503</v>
      </c>
      <c r="DY26" s="23">
        <f t="shared" si="32"/>
        <v>0.29677898688185589</v>
      </c>
      <c r="DZ26" s="114">
        <f t="shared" si="33"/>
        <v>93.485380867784599</v>
      </c>
      <c r="EA26" s="179">
        <f t="shared" si="66"/>
        <v>100</v>
      </c>
      <c r="EB26" s="179" t="str">
        <f t="shared" si="67"/>
        <v/>
      </c>
      <c r="EC26" s="179">
        <f t="shared" si="72"/>
        <v>100</v>
      </c>
      <c r="ED26">
        <f t="shared" si="68"/>
        <v>200</v>
      </c>
      <c r="EE26" s="13">
        <f t="shared" si="58"/>
        <v>769.921875</v>
      </c>
      <c r="EF26" s="14">
        <f t="shared" si="59"/>
        <v>-1000</v>
      </c>
      <c r="EG26" s="13">
        <f t="shared" si="60"/>
        <v>1769.921875</v>
      </c>
      <c r="EH26" s="13">
        <f t="shared" si="65"/>
        <v>116.37842465753424</v>
      </c>
      <c r="EI26" s="17">
        <f t="shared" si="61"/>
        <v>1</v>
      </c>
      <c r="EJ26" s="197">
        <f t="shared" si="62"/>
        <v>525.27562092253481</v>
      </c>
      <c r="EL26" s="13">
        <f t="shared" si="63"/>
        <v>0</v>
      </c>
      <c r="EM26" s="131">
        <f>FH$58</f>
        <v>19278.322365088199</v>
      </c>
      <c r="EN26" s="31">
        <f>FG$60</f>
        <v>0.50349187448677912</v>
      </c>
      <c r="ER26" s="2">
        <v>40862</v>
      </c>
      <c r="ES26" s="193">
        <v>43235</v>
      </c>
      <c r="EV26">
        <v>17.954999999999998</v>
      </c>
    </row>
    <row r="27" spans="2:166" ht="16.19" customHeight="1">
      <c r="B27" s="289"/>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F27" s="299"/>
      <c r="AG27" s="6"/>
      <c r="AU27" s="374"/>
      <c r="AZ27" s="288">
        <f t="shared" si="34"/>
        <v>40878</v>
      </c>
      <c r="BA27" s="48" t="str">
        <f t="shared" si="0"/>
        <v/>
      </c>
      <c r="BB27" s="222" t="str">
        <f t="shared" si="35"/>
        <v/>
      </c>
      <c r="BC27" s="173" t="str">
        <f t="shared" si="1"/>
        <v/>
      </c>
      <c r="BD27" s="99" t="str">
        <f t="shared" si="36"/>
        <v/>
      </c>
      <c r="BE27" s="4" t="str">
        <f t="shared" si="2"/>
        <v/>
      </c>
      <c r="BF27" s="3" t="str">
        <f t="shared" si="3"/>
        <v/>
      </c>
      <c r="BG27" s="380"/>
      <c r="BH27" s="426"/>
      <c r="BI27" s="427"/>
      <c r="BJ27" s="427"/>
      <c r="BK27" s="427"/>
      <c r="BL27" s="428"/>
      <c r="BN27" s="392"/>
      <c r="BO27" s="158">
        <f t="shared" si="37"/>
        <v>40878</v>
      </c>
      <c r="BP27" s="373">
        <f>IF($AZ$32="d",'Profils de colonie'!I53,IF($AZ$32="n",'Profils de colonie'!I81,IF($AZ$32="p",'Profils de colonie'!I109,IF($AZ$32="a",'Profils de colonie'!I137,IF($AZ$32="b",'Profils de colonie'!I165,IF($AZ$32="c",'Profils de colonie'!I193,IF($AZ$32="r",'Profils de colonie'!I221,IF($AZ$32="s",'Profils de colonie'!I249,IF($AZ$32="f",'Profils de colonie'!I277,"erreur")))))))))</f>
        <v>8.25</v>
      </c>
      <c r="BQ27" s="141">
        <v>2000</v>
      </c>
      <c r="BR27">
        <f t="shared" si="38"/>
        <v>16500</v>
      </c>
      <c r="BS27" s="68">
        <f>IF($AZ$32="d",'Profils de colonie'!G53,IF($AZ$32="n",'Profils de colonie'!G81,IF($AZ$32="p",'Profils de colonie'!G109,IF($AZ$32="a",'Profils de colonie'!G137,IF($AZ$32="b",'Profils de colonie'!G165,IF($AZ$32="c",'Profils de colonie'!G193,IF($AZ$32="r",'Profils de colonie'!G221,IF($AZ$32="s",'Profils de colonie'!G249,IF($AZ$32="f",'Profils de colonie'!G277,"erreur")))))))))</f>
        <v>0.1</v>
      </c>
      <c r="BT27" s="13">
        <f t="shared" si="4"/>
        <v>450</v>
      </c>
      <c r="BU27" s="17">
        <f t="shared" si="5"/>
        <v>2.7272727272727271E-2</v>
      </c>
      <c r="BV27">
        <f t="shared" si="39"/>
        <v>270</v>
      </c>
      <c r="BW27" s="14">
        <f t="shared" si="40"/>
        <v>269.9450016178659</v>
      </c>
      <c r="BX27" s="14">
        <f t="shared" si="6"/>
        <v>22.5</v>
      </c>
      <c r="BY27" s="89">
        <f t="shared" si="41"/>
        <v>23.009340385621535</v>
      </c>
      <c r="BZ27" s="21">
        <f t="shared" si="7"/>
        <v>35.009340385621535</v>
      </c>
      <c r="CA27" s="26">
        <f t="shared" si="8"/>
        <v>0.65723433038662893</v>
      </c>
      <c r="CB27" s="345">
        <f t="shared" si="9"/>
        <v>0.34276566961337107</v>
      </c>
      <c r="CC27" s="343">
        <f t="shared" si="42"/>
        <v>1.6363636363636365E-2</v>
      </c>
      <c r="CD27" s="343"/>
      <c r="CE27" s="22">
        <f t="shared" si="10"/>
        <v>2294.6958366095068</v>
      </c>
      <c r="CF27" s="5">
        <f t="shared" si="11"/>
        <v>270</v>
      </c>
      <c r="CG27" s="67">
        <f>IF($AZ$32="d",'Profils de colonie'!K53,IF($AZ$32="n",'Profils de colonie'!K81,IF($AZ$32="p",'Profils de colonie'!K109,IF($AZ$32="a",'Profils de colonie'!K137,IF($AZ$32="b",'Profils de colonie'!K165,IF($AZ$32="c",'Profils de colonie'!K193,IF($AZ$32="r",'Profils de colonie'!K221,IF($AZ$32="s",'Profils de colonie'!K221,IF($AZ$32="f",'Profils de colonie'!K277,"erreur")))))))))</f>
        <v>0</v>
      </c>
      <c r="CH27" s="87">
        <f t="shared" si="43"/>
        <v>0</v>
      </c>
      <c r="CI27" s="63">
        <f t="shared" si="44"/>
        <v>0</v>
      </c>
      <c r="CJ27" s="84">
        <f t="shared" si="45"/>
        <v>0</v>
      </c>
      <c r="CK27" s="60">
        <f t="shared" si="12"/>
        <v>0</v>
      </c>
      <c r="CL27" s="61">
        <f t="shared" si="46"/>
        <v>0</v>
      </c>
      <c r="CM27" s="266">
        <f t="shared" si="13"/>
        <v>0</v>
      </c>
      <c r="CN27" s="267">
        <f t="shared" si="47"/>
        <v>0</v>
      </c>
      <c r="CO27" s="61">
        <f t="shared" si="14"/>
        <v>38.009340385621535</v>
      </c>
      <c r="CP27" s="265">
        <v>1</v>
      </c>
      <c r="CQ27" s="71">
        <f t="shared" si="15"/>
        <v>4.2749999999999995</v>
      </c>
      <c r="CR27" s="65">
        <f t="shared" si="48"/>
        <v>9.8493837450082944E-2</v>
      </c>
      <c r="CS27" s="85">
        <f t="shared" si="49"/>
        <v>0.34276566961337107</v>
      </c>
      <c r="CT27" s="59">
        <f t="shared" si="50"/>
        <v>270</v>
      </c>
      <c r="CU27" s="59">
        <f t="shared" si="16"/>
        <v>2294.6958366095068</v>
      </c>
      <c r="CV27" s="62">
        <f t="shared" si="17"/>
        <v>8.4988734689240992</v>
      </c>
      <c r="CW27" s="263">
        <f t="shared" si="18"/>
        <v>0.99979630228839222</v>
      </c>
      <c r="CX27" s="265">
        <f t="shared" si="51"/>
        <v>8.5005965203860825</v>
      </c>
      <c r="CY27" s="64">
        <f t="shared" si="19"/>
        <v>1</v>
      </c>
      <c r="CZ27" s="62">
        <f t="shared" si="20"/>
        <v>35.009340385621535</v>
      </c>
      <c r="DA27" s="264">
        <v>1</v>
      </c>
      <c r="DB27" s="70">
        <f t="shared" si="52"/>
        <v>2.2586249999999999</v>
      </c>
      <c r="DC27" s="66">
        <f t="shared" si="21"/>
        <v>0</v>
      </c>
      <c r="DD27" s="91">
        <f t="shared" si="22"/>
        <v>0</v>
      </c>
      <c r="DE27" s="23">
        <f t="shared" si="23"/>
        <v>-5.0125418235442863E-3</v>
      </c>
      <c r="DF27" s="28">
        <f t="shared" si="24"/>
        <v>-5.0125418235442863E-3</v>
      </c>
      <c r="DG27" s="28"/>
      <c r="DH27" s="270">
        <f t="shared" si="69"/>
        <v>6694.6489687775666</v>
      </c>
      <c r="DI27" s="178">
        <f t="shared" si="25"/>
        <v>4686.2542781442962</v>
      </c>
      <c r="DJ27" s="178">
        <f t="shared" si="70"/>
        <v>2326.7633273197366</v>
      </c>
      <c r="DK27" s="116">
        <f t="shared" si="71"/>
        <v>0</v>
      </c>
      <c r="DL27" s="13">
        <f t="shared" si="54"/>
        <v>6694.6489687775666</v>
      </c>
      <c r="DM27" s="199">
        <f t="shared" si="55"/>
        <v>491.38165695405223</v>
      </c>
      <c r="DN27" s="107">
        <f t="shared" si="26"/>
        <v>6203.2673118235143</v>
      </c>
      <c r="DO27" s="182">
        <f>'Immigration de varroas'!E34</f>
        <v>0</v>
      </c>
      <c r="DP27" s="109">
        <f t="shared" si="56"/>
        <v>-235.98706962421258</v>
      </c>
      <c r="DQ27" s="82">
        <f t="shared" si="64"/>
        <v>-235.98706962421258</v>
      </c>
      <c r="DR27" s="198">
        <f t="shared" si="27"/>
        <v>5967.2802421993019</v>
      </c>
      <c r="DS27" s="278">
        <f>FI$33</f>
        <v>0</v>
      </c>
      <c r="DT27" s="107">
        <f t="shared" si="57"/>
        <v>0</v>
      </c>
      <c r="DU27" s="79">
        <f t="shared" si="28"/>
        <v>5967.2802421993019</v>
      </c>
      <c r="DV27" s="23">
        <f t="shared" si="29"/>
        <v>-7.5627809188483375E-3</v>
      </c>
      <c r="DW27" s="158">
        <f t="shared" si="30"/>
        <v>40878</v>
      </c>
      <c r="DX27" s="74">
        <f t="shared" si="31"/>
        <v>4399.9531321680597</v>
      </c>
      <c r="DY27" s="23">
        <f t="shared" si="32"/>
        <v>0.26666382619200363</v>
      </c>
      <c r="DZ27" s="114">
        <f t="shared" si="33"/>
        <v>83.999105250481136</v>
      </c>
      <c r="EA27" s="179">
        <f t="shared" si="66"/>
        <v>100</v>
      </c>
      <c r="EB27" s="179" t="str">
        <f t="shared" si="67"/>
        <v/>
      </c>
      <c r="EC27" s="179">
        <f t="shared" si="72"/>
        <v>100</v>
      </c>
      <c r="ED27">
        <f t="shared" si="68"/>
        <v>200</v>
      </c>
      <c r="EE27" s="13">
        <f t="shared" si="58"/>
        <v>384.9609375</v>
      </c>
      <c r="EF27" s="14">
        <f t="shared" si="59"/>
        <v>-500</v>
      </c>
      <c r="EG27" s="13">
        <f t="shared" si="60"/>
        <v>884.9609375</v>
      </c>
      <c r="EH27" s="13">
        <f t="shared" si="65"/>
        <v>58.18921232876712</v>
      </c>
      <c r="EI27" s="17">
        <f t="shared" si="61"/>
        <v>1</v>
      </c>
      <c r="EJ27" s="197">
        <f t="shared" si="62"/>
        <v>235.98706962421258</v>
      </c>
      <c r="EL27" s="13">
        <f t="shared" si="63"/>
        <v>0</v>
      </c>
      <c r="EM27" s="131">
        <f>FI$58</f>
        <v>25202.846295056333</v>
      </c>
      <c r="EN27" s="31">
        <f>FH$60</f>
        <v>0.70952198761136798</v>
      </c>
      <c r="ER27" s="2">
        <v>40878</v>
      </c>
      <c r="ES27" s="193">
        <v>43252</v>
      </c>
    </row>
    <row r="28" spans="2:166" ht="16.19" customHeight="1">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F28" s="299"/>
      <c r="AX28" s="180"/>
      <c r="AZ28" s="288">
        <f t="shared" si="34"/>
        <v>40892</v>
      </c>
      <c r="BA28" s="48" t="str">
        <f t="shared" si="0"/>
        <v/>
      </c>
      <c r="BB28" s="222" t="str">
        <f t="shared" si="35"/>
        <v/>
      </c>
      <c r="BC28" s="173" t="str">
        <f t="shared" si="1"/>
        <v/>
      </c>
      <c r="BD28" s="99" t="str">
        <f t="shared" si="36"/>
        <v/>
      </c>
      <c r="BE28" s="4" t="str">
        <f t="shared" si="2"/>
        <v/>
      </c>
      <c r="BF28" s="3" t="str">
        <f t="shared" si="3"/>
        <v/>
      </c>
      <c r="BL28" s="31"/>
      <c r="BN28" s="392"/>
      <c r="BO28" s="158">
        <f t="shared" si="37"/>
        <v>40892</v>
      </c>
      <c r="BP28" s="373">
        <f>IF($AZ$32="d",'Profils de colonie'!I54,IF($AZ$32="n",'Profils de colonie'!I82,IF($AZ$32="p",'Profils de colonie'!I110,IF($AZ$32="a",'Profils de colonie'!I138,IF($AZ$32="b",'Profils de colonie'!I166,IF($AZ$32="c",'Profils de colonie'!I194,IF($AZ$32="r",'Profils de colonie'!I222,IF($AZ$32="s",'Profils de colonie'!I250,IF($AZ$32="f",'Profils de colonie'!I278,"erreur")))))))))</f>
        <v>8</v>
      </c>
      <c r="BQ28" s="141">
        <v>2000</v>
      </c>
      <c r="BR28">
        <f t="shared" si="38"/>
        <v>16000</v>
      </c>
      <c r="BS28" s="68">
        <f>IF($AZ$32="d",'Profils de colonie'!G54,IF($AZ$32="n",'Profils de colonie'!G82,IF($AZ$32="p",'Profils de colonie'!G110,IF($AZ$32="a",'Profils de colonie'!G138,IF($AZ$32="b",'Profils de colonie'!G166,IF($AZ$32="c",'Profils de colonie'!G194,IF($AZ$32="r",'Profils de colonie'!G222,IF($AZ$32="s",'Profils de colonie'!G250,IF($AZ$32="f",'Profils de colonie'!G278,"erreur")))))))))</f>
        <v>0</v>
      </c>
      <c r="BT28" s="13">
        <f t="shared" si="4"/>
        <v>1</v>
      </c>
      <c r="BU28" s="17">
        <f t="shared" si="5"/>
        <v>6.2500000000000001E-5</v>
      </c>
      <c r="BV28">
        <f t="shared" si="39"/>
        <v>0.6</v>
      </c>
      <c r="BW28" s="14">
        <f t="shared" si="40"/>
        <v>0</v>
      </c>
      <c r="BX28" s="14">
        <f t="shared" si="6"/>
        <v>0.05</v>
      </c>
      <c r="BY28" s="89">
        <f t="shared" si="41"/>
        <v>53.401720006109592</v>
      </c>
      <c r="BZ28" s="21">
        <f t="shared" si="7"/>
        <v>65.401720006109599</v>
      </c>
      <c r="CA28" s="26">
        <f t="shared" si="8"/>
        <v>1</v>
      </c>
      <c r="CB28" s="345">
        <f t="shared" si="9"/>
        <v>0</v>
      </c>
      <c r="CC28" s="343">
        <f t="shared" si="42"/>
        <v>3.7499999999999997E-5</v>
      </c>
      <c r="CD28" s="343"/>
      <c r="CE28" s="22">
        <f t="shared" si="10"/>
        <v>0</v>
      </c>
      <c r="CF28" s="5">
        <f t="shared" si="11"/>
        <v>0.6</v>
      </c>
      <c r="CG28" s="67">
        <f>IF($AZ$32="d",'Profils de colonie'!K54,IF($AZ$32="n",'Profils de colonie'!K82,IF($AZ$32="p",'Profils de colonie'!K110,IF($AZ$32="a",'Profils de colonie'!K138,IF($AZ$32="b",'Profils de colonie'!K166,IF($AZ$32="c",'Profils de colonie'!K194,IF($AZ$32="r",'Profils de colonie'!K222,IF($AZ$32="s",'Profils de colonie'!K222,IF($AZ$32="f",'Profils de colonie'!K278,"erreur")))))))))</f>
        <v>0</v>
      </c>
      <c r="CH28" s="87">
        <f t="shared" si="43"/>
        <v>0</v>
      </c>
      <c r="CI28" s="63">
        <f t="shared" si="44"/>
        <v>0</v>
      </c>
      <c r="CJ28" s="84">
        <f t="shared" si="45"/>
        <v>0</v>
      </c>
      <c r="CK28" s="60">
        <f t="shared" si="12"/>
        <v>0</v>
      </c>
      <c r="CL28" s="61">
        <f t="shared" si="46"/>
        <v>0</v>
      </c>
      <c r="CM28" s="266">
        <f t="shared" si="13"/>
        <v>0</v>
      </c>
      <c r="CN28" s="267">
        <f t="shared" si="47"/>
        <v>0</v>
      </c>
      <c r="CO28" s="61">
        <f t="shared" si="14"/>
        <v>68.401720006109599</v>
      </c>
      <c r="CP28" s="265">
        <v>1</v>
      </c>
      <c r="CQ28" s="71">
        <f t="shared" si="15"/>
        <v>4.2749999999999995</v>
      </c>
      <c r="CR28" s="65">
        <f t="shared" si="48"/>
        <v>9.8493837450082944E-2</v>
      </c>
      <c r="CS28" s="85">
        <f t="shared" si="49"/>
        <v>0</v>
      </c>
      <c r="CT28" s="59">
        <f t="shared" si="50"/>
        <v>0.6</v>
      </c>
      <c r="CU28" s="59">
        <f t="shared" si="16"/>
        <v>0</v>
      </c>
      <c r="CV28" s="62">
        <f t="shared" si="17"/>
        <v>0</v>
      </c>
      <c r="CW28" s="263">
        <f t="shared" si="18"/>
        <v>0</v>
      </c>
      <c r="CX28" s="265">
        <f t="shared" si="51"/>
        <v>0</v>
      </c>
      <c r="CY28" s="64">
        <f t="shared" si="19"/>
        <v>1</v>
      </c>
      <c r="CZ28" s="62">
        <f t="shared" si="20"/>
        <v>65.401720006109599</v>
      </c>
      <c r="DA28" s="264">
        <v>1</v>
      </c>
      <c r="DB28" s="70">
        <f t="shared" si="52"/>
        <v>2.2586249999999999</v>
      </c>
      <c r="DC28" s="66">
        <f t="shared" si="21"/>
        <v>0</v>
      </c>
      <c r="DD28" s="91">
        <f t="shared" si="22"/>
        <v>0</v>
      </c>
      <c r="DE28" s="23">
        <f t="shared" si="23"/>
        <v>-5.0125418235442863E-3</v>
      </c>
      <c r="DF28" s="28">
        <f t="shared" si="24"/>
        <v>-5.0125418235442863E-3</v>
      </c>
      <c r="DG28" s="28"/>
      <c r="DH28" s="270">
        <f t="shared" si="69"/>
        <v>5967.2802421993019</v>
      </c>
      <c r="DI28" s="178">
        <f t="shared" si="25"/>
        <v>4177.0961695395108</v>
      </c>
      <c r="DJ28" s="178">
        <f t="shared" si="70"/>
        <v>1213.3545928840053</v>
      </c>
      <c r="DK28" s="116">
        <f t="shared" si="71"/>
        <v>0</v>
      </c>
      <c r="DL28" s="13">
        <f t="shared" si="54"/>
        <v>5967.2802421993019</v>
      </c>
      <c r="DM28" s="199">
        <f t="shared" si="55"/>
        <v>437.9933983986748</v>
      </c>
      <c r="DN28" s="107">
        <f t="shared" si="26"/>
        <v>5529.2868438006271</v>
      </c>
      <c r="DO28" s="182">
        <f>'Immigration de varroas'!E35</f>
        <v>0</v>
      </c>
      <c r="DP28" s="109">
        <f t="shared" si="56"/>
        <v>-301.33599738684171</v>
      </c>
      <c r="DQ28" s="82">
        <f t="shared" si="64"/>
        <v>-301.33599738684171</v>
      </c>
      <c r="DR28" s="198">
        <f t="shared" si="27"/>
        <v>5227.9508464137853</v>
      </c>
      <c r="DS28" s="278">
        <f>FJ$33</f>
        <v>0</v>
      </c>
      <c r="DT28" s="107">
        <f t="shared" si="57"/>
        <v>0</v>
      </c>
      <c r="DU28" s="79">
        <f t="shared" si="28"/>
        <v>5227.9508464137853</v>
      </c>
      <c r="DV28" s="23">
        <f t="shared" si="29"/>
        <v>-8.6973277182630596E-3</v>
      </c>
      <c r="DW28" s="158">
        <f t="shared" si="30"/>
        <v>40892</v>
      </c>
      <c r="DX28" s="74">
        <f t="shared" si="31"/>
        <v>5967.2802421993019</v>
      </c>
      <c r="DY28" s="23">
        <f t="shared" si="32"/>
        <v>0.37295501513745638</v>
      </c>
      <c r="DZ28" s="114">
        <f t="shared" si="33"/>
        <v>117.48082976829876</v>
      </c>
      <c r="EA28" s="179">
        <f t="shared" si="66"/>
        <v>100</v>
      </c>
      <c r="EB28" s="179">
        <f t="shared" si="67"/>
        <v>100</v>
      </c>
      <c r="EC28" s="179">
        <f t="shared" si="72"/>
        <v>100</v>
      </c>
      <c r="ED28">
        <f t="shared" si="68"/>
        <v>300</v>
      </c>
      <c r="EE28" s="13">
        <f t="shared" si="58"/>
        <v>307.96875</v>
      </c>
      <c r="EF28" s="14">
        <f t="shared" si="59"/>
        <v>-500</v>
      </c>
      <c r="EG28" s="13">
        <f t="shared" si="60"/>
        <v>807.96875</v>
      </c>
      <c r="EH28" s="13">
        <f t="shared" si="65"/>
        <v>53.12671232876712</v>
      </c>
      <c r="EI28" s="17">
        <f t="shared" si="61"/>
        <v>1</v>
      </c>
      <c r="EJ28" s="197">
        <f t="shared" si="62"/>
        <v>301.33599738684171</v>
      </c>
      <c r="EL28" s="13">
        <f t="shared" si="63"/>
        <v>0</v>
      </c>
      <c r="EM28" s="131">
        <f>FJ$58</f>
        <v>23377.378149192216</v>
      </c>
      <c r="EN28" s="31">
        <f>FI$60</f>
        <v>0.99</v>
      </c>
      <c r="ER28" s="2">
        <v>40892</v>
      </c>
      <c r="ES28" s="193">
        <v>43266</v>
      </c>
      <c r="EV28">
        <v>11.025</v>
      </c>
    </row>
    <row r="29" spans="2:166" ht="16" customHeight="1">
      <c r="B29" s="289"/>
      <c r="C29" s="289"/>
      <c r="D29" s="289"/>
      <c r="E29" s="289"/>
      <c r="F29" s="289"/>
      <c r="G29" s="289"/>
      <c r="H29" s="289"/>
      <c r="I29" s="289"/>
      <c r="J29" s="289"/>
      <c r="K29" s="289"/>
      <c r="L29" s="289"/>
      <c r="M29" s="289"/>
      <c r="N29" s="289"/>
      <c r="O29" s="289"/>
      <c r="P29" s="289"/>
      <c r="Q29" s="289"/>
      <c r="R29" s="289"/>
      <c r="S29" s="289"/>
      <c r="T29" s="289"/>
      <c r="U29" s="289"/>
      <c r="V29" s="289"/>
      <c r="W29" s="289"/>
      <c r="X29" s="289"/>
      <c r="Y29" s="289"/>
      <c r="Z29" s="289"/>
      <c r="AA29" s="289"/>
      <c r="AB29" s="289"/>
      <c r="AC29" s="289"/>
      <c r="AF29" s="299"/>
      <c r="AG29" s="181"/>
      <c r="AI29" s="126"/>
      <c r="AJ29" s="126"/>
      <c r="AK29" s="126"/>
      <c r="AL29" s="126"/>
      <c r="AM29" s="126"/>
      <c r="AN29" s="126"/>
      <c r="AO29" s="126"/>
      <c r="AP29" s="126"/>
      <c r="AQ29" s="126"/>
      <c r="AR29" s="126"/>
      <c r="AS29" s="126"/>
      <c r="AT29" s="126"/>
      <c r="AU29" s="126"/>
      <c r="AV29" s="126"/>
      <c r="AW29" s="126"/>
      <c r="AX29" s="126"/>
      <c r="AZ29" s="288">
        <f t="shared" si="34"/>
        <v>40908</v>
      </c>
      <c r="BA29" s="48" t="str">
        <f>IF(ED28&gt;0,"",DH29)</f>
        <v/>
      </c>
      <c r="BB29" s="222" t="str">
        <f>IF(ED29&gt;0,"",DV29)</f>
        <v/>
      </c>
      <c r="BC29" s="173" t="str">
        <f t="shared" si="1"/>
        <v/>
      </c>
      <c r="BD29" s="99" t="str">
        <f>IF(ED29&gt;0,"",DZ29)</f>
        <v/>
      </c>
      <c r="BE29" s="4" t="str">
        <f t="shared" si="2"/>
        <v/>
      </c>
      <c r="BF29" s="3" t="str">
        <f t="shared" si="3"/>
        <v/>
      </c>
      <c r="BK29" s="76"/>
      <c r="BL29" s="76"/>
      <c r="BO29" s="158">
        <f t="shared" si="37"/>
        <v>40908</v>
      </c>
      <c r="BP29" s="373">
        <f>IF($AZ$32="d",'Profils de colonie'!I55,IF($AZ$32="n",'Profils de colonie'!I83,IF($AZ$32="p",'Profils de colonie'!I111,IF($AZ$32="a",'Profils de colonie'!I139,IF($AZ$32="b",'Profils de colonie'!I167,IF($AZ$32="c",'Profils de colonie'!I195,IF($AZ$32="r",'Profils de colonie'!I223,IF($AZ$32="s",'Profils de colonie'!I251,IF($AZ$32="f",'Profils de colonie'!I279,"erreur")))))))))</f>
        <v>8</v>
      </c>
      <c r="BQ29" s="141">
        <v>2000</v>
      </c>
      <c r="BR29">
        <f t="shared" si="38"/>
        <v>16000</v>
      </c>
      <c r="BS29" s="68">
        <f>IF($AZ$32="d",'Profils de colonie'!G55,IF($AZ$32="n",'Profils de colonie'!G83,IF($AZ$32="p",'Profils de colonie'!G111,IF($AZ$32="a",'Profils de colonie'!G139,IF($AZ$32="b",'Profils de colonie'!G167,IF($AZ$32="c",'Profils de colonie'!G195,IF($AZ$32="r",'Profils de colonie'!G223,IF($AZ$32="s",'Profils de colonie'!G251,IF($AZ$32="f",'Profils de colonie'!G279,"erreur")))))))))</f>
        <v>0.125</v>
      </c>
      <c r="BT29" s="13">
        <f>IF(BS29=0,1,$BP$44*BS29)</f>
        <v>562.5</v>
      </c>
      <c r="BU29" s="17">
        <f>IF(BR29=0,0,BT29/BR29)</f>
        <v>3.515625E-2</v>
      </c>
      <c r="BV29">
        <f>BT29*12/20</f>
        <v>337.5</v>
      </c>
      <c r="BW29" s="14">
        <f>CW29*BV29</f>
        <v>336.13349116180336</v>
      </c>
      <c r="BX29" s="14">
        <f>BT29/20</f>
        <v>28.125</v>
      </c>
      <c r="BY29" s="89">
        <f>IF(BU29=0,0.001,(-$BP$43*LN(BU29))+$BP$42)</f>
        <v>21.739764335716714</v>
      </c>
      <c r="BZ29" s="21">
        <f>BY29+12</f>
        <v>33.739764335716714</v>
      </c>
      <c r="CA29" s="26">
        <f>IF(BS29=0,1,BY29/BZ29)</f>
        <v>0.6443365792185789</v>
      </c>
      <c r="CB29" s="345">
        <f>1-CA29</f>
        <v>0.3556634207814211</v>
      </c>
      <c r="CC29" s="343">
        <f t="shared" si="42"/>
        <v>2.1093750000000001E-2</v>
      </c>
      <c r="CD29" s="343"/>
      <c r="CE29" s="22">
        <f t="shared" si="10"/>
        <v>1859.3908817126528</v>
      </c>
      <c r="CF29" s="5">
        <f>0.6*BT29</f>
        <v>337.5</v>
      </c>
      <c r="CG29" s="67">
        <f>IF($AZ$32="d",'Profils de colonie'!K55,IF($AZ$32="n",'Profils de colonie'!K83,IF($AZ$32="p",'Profils de colonie'!K111,IF($AZ$32="a",'Profils de colonie'!J139,IF($AZ$32="b",'Profils de colonie'!K167,IF($AZ$32="c",'Profils de colonie'!K195,IF($AZ$32="r",'Profils de colonie'!K223,IF($AZ$32="s",'Profils de colonie'!K223,IF($AZ$32="f",'Profils de colonie'!K279,"erreur")))))))))</f>
        <v>0</v>
      </c>
      <c r="CH29" s="87">
        <f t="shared" si="43"/>
        <v>0</v>
      </c>
      <c r="CI29" s="63">
        <f t="shared" si="44"/>
        <v>0</v>
      </c>
      <c r="CJ29" s="84">
        <f>CI29*CB29</f>
        <v>0</v>
      </c>
      <c r="CK29" s="60">
        <f>CI29*CE29</f>
        <v>0</v>
      </c>
      <c r="CL29" s="61">
        <f>IF(CH29=0,0,CK29/(CF29*CH29))</f>
        <v>0</v>
      </c>
      <c r="CM29" s="266">
        <f t="shared" si="13"/>
        <v>0</v>
      </c>
      <c r="CN29" s="267">
        <f>IF(CM29=0,0,CL29/CM29)</f>
        <v>0</v>
      </c>
      <c r="CO29" s="61">
        <f>BY29+15</f>
        <v>36.739764335716714</v>
      </c>
      <c r="CP29" s="265">
        <v>1</v>
      </c>
      <c r="CQ29" s="71">
        <f>(1+($BP$32*CP29))*$BP$47</f>
        <v>4.2749999999999995</v>
      </c>
      <c r="CR29" s="65">
        <f>LN(CQ29)/14.75</f>
        <v>9.8493837450082944E-2</v>
      </c>
      <c r="CS29" s="85">
        <f>1-CA29-CJ29</f>
        <v>0.3556634207814211</v>
      </c>
      <c r="CT29" s="59">
        <f>(1-CH29)*CF29</f>
        <v>337.5</v>
      </c>
      <c r="CU29" s="59">
        <f>CE29-CK29</f>
        <v>1859.3908817126528</v>
      </c>
      <c r="CV29" s="62">
        <f>CU29/CT29</f>
        <v>5.5093063161856382</v>
      </c>
      <c r="CW29" s="263">
        <f t="shared" si="18"/>
        <v>0.99595108492386186</v>
      </c>
      <c r="CX29" s="265">
        <f t="shared" si="51"/>
        <v>5.5316981605664406</v>
      </c>
      <c r="CY29" s="64">
        <f t="shared" si="19"/>
        <v>1</v>
      </c>
      <c r="CZ29" s="62">
        <f t="shared" si="20"/>
        <v>33.739764335716714</v>
      </c>
      <c r="DA29" s="264">
        <v>1</v>
      </c>
      <c r="DB29" s="70">
        <f t="shared" si="52"/>
        <v>2.2586249999999999</v>
      </c>
      <c r="DC29" s="66">
        <f t="shared" si="21"/>
        <v>0</v>
      </c>
      <c r="DD29" s="91">
        <f t="shared" si="22"/>
        <v>0</v>
      </c>
      <c r="DE29" s="23">
        <f t="shared" si="23"/>
        <v>-5.0125418235442863E-3</v>
      </c>
      <c r="DF29" s="28">
        <f>DD29+DE29</f>
        <v>-5.0125418235442863E-3</v>
      </c>
      <c r="DG29" s="28"/>
      <c r="DH29" s="270">
        <f t="shared" si="69"/>
        <v>5227.9508464137853</v>
      </c>
      <c r="DI29" s="178">
        <f t="shared" si="25"/>
        <v>3659.5655924896496</v>
      </c>
      <c r="DJ29" s="178">
        <f t="shared" si="70"/>
        <v>36.595655924896526</v>
      </c>
      <c r="DK29" s="116">
        <f t="shared" si="71"/>
        <v>0</v>
      </c>
      <c r="DL29" s="13">
        <f>DH29+DK29</f>
        <v>5227.9508464137853</v>
      </c>
      <c r="DM29" s="199">
        <f>DL29-DN29</f>
        <v>383.72723668799426</v>
      </c>
      <c r="DN29" s="107">
        <f t="shared" si="26"/>
        <v>4844.223609725791</v>
      </c>
      <c r="DO29" s="182">
        <f>'Immigration de varroas'!D36</f>
        <v>0</v>
      </c>
      <c r="DP29" s="109">
        <f>IF(EJ29&gt;DX29*EI29,-DX29*EI29,-EJ29)</f>
        <v>-0.14408488911514608</v>
      </c>
      <c r="DQ29" s="82">
        <f t="shared" si="64"/>
        <v>-0.14408488911514608</v>
      </c>
      <c r="DR29" s="198">
        <f t="shared" si="27"/>
        <v>4844.0795248366758</v>
      </c>
      <c r="DS29" s="278"/>
      <c r="DT29" s="107"/>
      <c r="DU29" s="79">
        <f t="shared" si="28"/>
        <v>4844.0795248366758</v>
      </c>
      <c r="DV29" s="23">
        <f t="shared" si="29"/>
        <v>-5.0144975994463889E-3</v>
      </c>
      <c r="DW29" s="158">
        <f t="shared" si="30"/>
        <v>40908</v>
      </c>
      <c r="DX29" s="74">
        <f t="shared" si="31"/>
        <v>3368.5599647011327</v>
      </c>
      <c r="DY29" s="23">
        <f t="shared" si="32"/>
        <v>0.21053499779382079</v>
      </c>
      <c r="DZ29" s="114">
        <f>DY29*315</f>
        <v>66.318524305053543</v>
      </c>
      <c r="EA29" s="179">
        <f t="shared" si="66"/>
        <v>100</v>
      </c>
      <c r="EB29" s="179">
        <f t="shared" si="67"/>
        <v>100</v>
      </c>
      <c r="EC29" s="179">
        <f t="shared" si="72"/>
        <v>100</v>
      </c>
      <c r="ED29">
        <f t="shared" si="68"/>
        <v>300</v>
      </c>
      <c r="EE29" s="13">
        <f t="shared" si="58"/>
        <v>0.68437499999999996</v>
      </c>
      <c r="EF29" s="14">
        <f t="shared" si="59"/>
        <v>0</v>
      </c>
      <c r="EG29" s="13">
        <f>EE29-EF29</f>
        <v>0.68437499999999996</v>
      </c>
      <c r="EH29" s="13">
        <f t="shared" si="65"/>
        <v>4.4999999999999998E-2</v>
      </c>
      <c r="EI29" s="17">
        <f>IF(DY29&gt;0.15,1,$BP$36)</f>
        <v>1</v>
      </c>
      <c r="EJ29" s="197">
        <f>EG29*EI29*DY29</f>
        <v>0.14408488911514608</v>
      </c>
      <c r="EL29" s="13">
        <f t="shared" si="63"/>
        <v>0</v>
      </c>
      <c r="EM29" s="131">
        <f>FJ$58</f>
        <v>23377.378149192216</v>
      </c>
      <c r="EN29" s="31">
        <f>FI$60</f>
        <v>0.99</v>
      </c>
      <c r="EP29" s="14"/>
      <c r="EQ29" s="14"/>
      <c r="ER29" s="2">
        <v>40908</v>
      </c>
      <c r="ES29" s="193">
        <v>43281</v>
      </c>
    </row>
    <row r="30" spans="2:166" ht="16.19" customHeight="1">
      <c r="AF30" s="191"/>
      <c r="AI30" s="126"/>
      <c r="AJ30" s="126"/>
      <c r="AK30" s="126"/>
      <c r="AL30" s="126"/>
      <c r="AM30" s="126"/>
      <c r="AN30" s="126"/>
      <c r="AO30" s="126"/>
      <c r="AP30" s="126"/>
      <c r="AQ30" s="126"/>
      <c r="AR30" s="126"/>
      <c r="AS30" s="126"/>
      <c r="AT30" s="126"/>
      <c r="AU30" s="126"/>
      <c r="AV30" s="126"/>
      <c r="AW30" s="126"/>
      <c r="AX30" s="126"/>
      <c r="AY30" s="260"/>
      <c r="AZ30" s="234" t="s">
        <v>127</v>
      </c>
      <c r="BA30" s="236">
        <f>MAX(BA5:BA29)</f>
        <v>24587.109072117342</v>
      </c>
      <c r="BB30" s="235" t="s">
        <v>128</v>
      </c>
      <c r="BC30" s="233">
        <f>SUM(BC5:BC29)</f>
        <v>0</v>
      </c>
      <c r="BD30" s="224"/>
      <c r="BE30" s="224"/>
      <c r="BF30" s="224"/>
      <c r="BG30" s="224"/>
      <c r="BH30" s="224"/>
      <c r="BI30" s="224"/>
      <c r="BJ30" s="179"/>
      <c r="BK30" s="179"/>
      <c r="BL30" s="179"/>
      <c r="BM30" s="179"/>
      <c r="BN30" s="384" t="s">
        <v>129</v>
      </c>
      <c r="BO30" s="239">
        <f t="shared" ref="BO30:BO36" si="73">AG41</f>
        <v>1.45</v>
      </c>
      <c r="BP30" s="339">
        <f>IF($AG$39="custom",AH41*(1-$BP$40),IF($AG$39="",BO30*(1-AG50),"erreur"))</f>
        <v>1.3774999999999999</v>
      </c>
      <c r="BR30" s="163" t="s">
        <v>130</v>
      </c>
      <c r="BY30" s="21"/>
      <c r="BZ30" s="5">
        <f>BY30+12</f>
        <v>12</v>
      </c>
      <c r="CI30"/>
      <c r="CO30" s="61">
        <f>BY30+15</f>
        <v>15</v>
      </c>
      <c r="CV30" s="5" t="s">
        <v>131</v>
      </c>
      <c r="CW30" s="31">
        <f>MAX(CW5:CW29)</f>
        <v>0.99979630228839222</v>
      </c>
      <c r="CX30" s="17"/>
      <c r="DB30" s="5"/>
      <c r="DO30" s="183">
        <f>SUM(DO5:DO28)</f>
        <v>0</v>
      </c>
      <c r="DP30" s="29">
        <f>SUM(DP6:DP29)</f>
        <v>-24555.695781054528</v>
      </c>
      <c r="DQ30" s="82">
        <f>DO30+DP30</f>
        <v>-24555.695781054528</v>
      </c>
      <c r="EA30" s="463" t="s">
        <v>82</v>
      </c>
      <c r="EB30" s="463" t="s">
        <v>83</v>
      </c>
      <c r="EC30" s="463" t="s">
        <v>84</v>
      </c>
      <c r="ED30" s="463" t="s">
        <v>85</v>
      </c>
      <c r="EN30">
        <v>4</v>
      </c>
      <c r="EO30">
        <v>5</v>
      </c>
      <c r="EP30">
        <v>6</v>
      </c>
      <c r="EQ30">
        <v>7</v>
      </c>
      <c r="ER30">
        <v>8</v>
      </c>
      <c r="ES30">
        <v>9</v>
      </c>
      <c r="ET30">
        <v>10</v>
      </c>
      <c r="EU30">
        <v>11</v>
      </c>
      <c r="EV30">
        <v>12</v>
      </c>
      <c r="EW30">
        <v>13</v>
      </c>
      <c r="EX30">
        <v>14</v>
      </c>
      <c r="EY30">
        <v>15</v>
      </c>
      <c r="EZ30">
        <v>16</v>
      </c>
      <c r="FA30">
        <v>17</v>
      </c>
      <c r="FB30">
        <v>18</v>
      </c>
      <c r="FC30">
        <v>19</v>
      </c>
      <c r="FD30">
        <v>20</v>
      </c>
      <c r="FE30">
        <v>21</v>
      </c>
      <c r="FF30">
        <v>22</v>
      </c>
      <c r="FG30">
        <v>23</v>
      </c>
      <c r="FH30">
        <v>24</v>
      </c>
      <c r="FI30">
        <v>25</v>
      </c>
      <c r="FJ30">
        <v>26</v>
      </c>
    </row>
    <row r="31" spans="2:166" ht="16.19" customHeight="1">
      <c r="B31" s="462" t="s">
        <v>132</v>
      </c>
      <c r="C31" s="462"/>
      <c r="D31" s="462"/>
      <c r="E31" s="462"/>
      <c r="F31" s="462"/>
      <c r="G31" s="462"/>
      <c r="H31" s="462"/>
      <c r="I31" s="462"/>
      <c r="J31" s="462"/>
      <c r="K31" s="462"/>
      <c r="L31" s="462"/>
      <c r="M31" s="462"/>
      <c r="AF31" s="191"/>
      <c r="AH31" s="126"/>
      <c r="AI31" s="126"/>
      <c r="AJ31" s="126"/>
      <c r="AK31" s="126"/>
      <c r="AL31" s="126"/>
      <c r="AM31" s="126"/>
      <c r="AN31" s="126"/>
      <c r="AO31" s="126"/>
      <c r="AP31" s="126"/>
      <c r="AQ31" s="126"/>
      <c r="AR31" s="126"/>
      <c r="AS31" s="126"/>
      <c r="AT31" s="126"/>
      <c r="AU31" s="126"/>
      <c r="AV31" s="126"/>
      <c r="AW31" s="126"/>
      <c r="AX31" s="126"/>
      <c r="AY31" s="126"/>
      <c r="AZ31" s="126"/>
      <c r="BB31" s="374"/>
      <c r="BL31" s="10"/>
      <c r="BN31" s="384"/>
      <c r="BO31" s="239">
        <f t="shared" si="73"/>
        <v>0.7</v>
      </c>
      <c r="BP31" s="340">
        <f t="shared" ref="BP31:BP36" si="74">IF($AG$39="custom",AH42,IF($AG$39="",BO31,"erreur"))</f>
        <v>0.7</v>
      </c>
      <c r="BR31" s="163" t="s">
        <v>133</v>
      </c>
      <c r="BZ31" s="77">
        <f>(1+(BP30*BP31))</f>
        <v>1.9642499999999998</v>
      </c>
      <c r="CA31" s="352" t="s">
        <v>134</v>
      </c>
      <c r="CB31"/>
      <c r="CC31"/>
      <c r="CD31"/>
      <c r="CE31"/>
      <c r="DB31" s="352"/>
      <c r="EA31" s="463"/>
      <c r="EB31" s="463"/>
      <c r="EC31" s="463"/>
      <c r="ED31" s="463"/>
      <c r="EL31" t="s">
        <v>135</v>
      </c>
      <c r="EM31" s="13">
        <f>BT5</f>
        <v>1</v>
      </c>
      <c r="EN31" s="13">
        <f>BT6</f>
        <v>1125</v>
      </c>
      <c r="EO31" s="13">
        <f>BT7</f>
        <v>1485</v>
      </c>
      <c r="EP31" s="13">
        <f>BT8</f>
        <v>3375</v>
      </c>
      <c r="EQ31" s="13">
        <f>BT9</f>
        <v>4500</v>
      </c>
      <c r="ER31" s="13">
        <f>BT10</f>
        <v>9000</v>
      </c>
      <c r="ES31" s="13">
        <f>BT11</f>
        <v>13500</v>
      </c>
      <c r="ET31" s="13">
        <f>BT12</f>
        <v>22500</v>
      </c>
      <c r="EU31" s="13">
        <f>BT13</f>
        <v>27000</v>
      </c>
      <c r="EV31" s="13">
        <f>BT14</f>
        <v>29250</v>
      </c>
      <c r="EW31" s="13">
        <f>BT15</f>
        <v>31500</v>
      </c>
      <c r="EX31" s="13">
        <f>BT16</f>
        <v>29250</v>
      </c>
      <c r="EY31" s="13">
        <f>BT17</f>
        <v>27000</v>
      </c>
      <c r="EZ31" s="13">
        <f>BT18</f>
        <v>22500</v>
      </c>
      <c r="FA31" s="13">
        <f>BT19</f>
        <v>20250</v>
      </c>
      <c r="FB31" s="13">
        <f>BT20</f>
        <v>18000</v>
      </c>
      <c r="FC31" s="13">
        <f>BT21</f>
        <v>15750</v>
      </c>
      <c r="FD31" s="13">
        <f>BT22</f>
        <v>18000</v>
      </c>
      <c r="FE31" s="13">
        <f>BT23</f>
        <v>9000</v>
      </c>
      <c r="FF31" s="13">
        <f>BT24</f>
        <v>2250</v>
      </c>
      <c r="FG31" s="13">
        <f>BT25</f>
        <v>1125</v>
      </c>
      <c r="FH31" s="13">
        <f>BT26</f>
        <v>562.5</v>
      </c>
      <c r="FI31" s="13">
        <f>BT27</f>
        <v>450</v>
      </c>
      <c r="FJ31" s="13">
        <f>BT28</f>
        <v>1</v>
      </c>
    </row>
    <row r="32" spans="2:166" ht="16.44">
      <c r="B32" s="444" t="str">
        <f>'Profils de colonie'!B30</f>
        <v>D : colonie par défaut en climat tempéré, conduite pour éviter l’essaimage (légère reprise du couvain en automne)</v>
      </c>
      <c r="C32" s="444"/>
      <c r="D32" s="444"/>
      <c r="E32" s="444"/>
      <c r="F32" s="444"/>
      <c r="G32" s="444"/>
      <c r="H32" s="444"/>
      <c r="I32" s="444"/>
      <c r="J32" s="444"/>
      <c r="K32" s="444"/>
      <c r="L32" s="444"/>
      <c r="M32" s="444"/>
      <c r="AF32" s="191"/>
      <c r="AM32" s="352"/>
      <c r="AN32" s="352"/>
      <c r="AO32" s="352"/>
      <c r="AP32" s="352"/>
      <c r="AQ32" s="352"/>
      <c r="AR32" s="352"/>
      <c r="AS32" s="352"/>
      <c r="AT32" s="352"/>
      <c r="AU32" s="352"/>
      <c r="AV32" s="352"/>
      <c r="AW32" s="352"/>
      <c r="AX32" s="352"/>
      <c r="AY32" s="352"/>
      <c r="AZ32" s="301" t="str">
        <f>C22</f>
        <v>d</v>
      </c>
      <c r="BA32" s="279" t="s">
        <v>136</v>
      </c>
      <c r="BB32" s="352"/>
      <c r="BC32" s="352"/>
      <c r="BD32" s="352"/>
      <c r="BG32" s="404"/>
      <c r="BH32" s="404"/>
      <c r="BI32" s="404"/>
      <c r="BJ32" s="404"/>
      <c r="BK32" s="404"/>
      <c r="BL32" s="404"/>
      <c r="BM32" s="404"/>
      <c r="BN32" s="384" t="s">
        <v>137</v>
      </c>
      <c r="BO32" s="239">
        <f t="shared" si="73"/>
        <v>3.5</v>
      </c>
      <c r="BP32" s="339">
        <f t="shared" si="74"/>
        <v>3.5</v>
      </c>
      <c r="BR32" s="163" t="s">
        <v>138</v>
      </c>
      <c r="BZ32">
        <f>LN(BZ31)</f>
        <v>0.67511049307379378</v>
      </c>
      <c r="CA32" s="352" t="s">
        <v>139</v>
      </c>
      <c r="CB32"/>
      <c r="CC32"/>
      <c r="CD32"/>
      <c r="CE32"/>
      <c r="CF32"/>
      <c r="CG32" s="31"/>
      <c r="CH32" s="31"/>
      <c r="CK32" s="352"/>
      <c r="CQ32" s="31"/>
      <c r="DA32" s="9"/>
      <c r="DB32" s="11"/>
      <c r="DK32" s="13"/>
      <c r="DY32" s="56"/>
      <c r="EA32" s="463"/>
      <c r="EB32" s="463"/>
      <c r="EC32" s="463"/>
      <c r="ED32" s="463"/>
      <c r="EL32" s="377" t="s">
        <v>140</v>
      </c>
      <c r="EM32" s="2">
        <v>40544</v>
      </c>
      <c r="EN32" s="2">
        <v>40558</v>
      </c>
      <c r="EO32" s="2">
        <v>40575</v>
      </c>
      <c r="EP32" s="2">
        <v>40589</v>
      </c>
      <c r="EQ32" s="2">
        <v>40603</v>
      </c>
      <c r="ER32" s="2">
        <v>40617</v>
      </c>
      <c r="ES32" s="2">
        <v>40634</v>
      </c>
      <c r="ET32" s="2">
        <v>40648</v>
      </c>
      <c r="EU32" s="2">
        <v>40664</v>
      </c>
      <c r="EV32" s="2">
        <v>40678</v>
      </c>
      <c r="EW32" s="2">
        <v>40695</v>
      </c>
      <c r="EX32" s="2">
        <v>40709</v>
      </c>
      <c r="EY32" s="2">
        <v>40725</v>
      </c>
      <c r="EZ32" s="2">
        <v>40739</v>
      </c>
      <c r="FA32" s="2">
        <v>40756</v>
      </c>
      <c r="FB32" s="2">
        <v>40770</v>
      </c>
      <c r="FC32" s="2">
        <v>40787</v>
      </c>
      <c r="FD32" s="2">
        <v>40801</v>
      </c>
      <c r="FE32" s="2">
        <v>40817</v>
      </c>
      <c r="FF32" s="2">
        <v>40831</v>
      </c>
      <c r="FG32" s="2">
        <v>40848</v>
      </c>
      <c r="FH32" s="2">
        <v>40862</v>
      </c>
      <c r="FI32" s="2">
        <v>40878</v>
      </c>
      <c r="FJ32" s="2">
        <v>40892</v>
      </c>
    </row>
    <row r="33" spans="2:166" ht="16.44">
      <c r="B33" s="444"/>
      <c r="C33" s="444"/>
      <c r="D33" s="444"/>
      <c r="E33" s="444"/>
      <c r="F33" s="444"/>
      <c r="G33" s="444"/>
      <c r="H33" s="444"/>
      <c r="I33" s="444"/>
      <c r="J33" s="444"/>
      <c r="K33" s="444"/>
      <c r="L33" s="444"/>
      <c r="M33" s="444"/>
      <c r="AF33" s="191"/>
      <c r="AZ33" s="303">
        <f>C23</f>
        <v>100</v>
      </c>
      <c r="BA33" s="302" t="s">
        <v>141</v>
      </c>
      <c r="BB33" s="6"/>
      <c r="BC33" s="6"/>
      <c r="BD33" s="6"/>
      <c r="BF33" s="128"/>
      <c r="BN33" s="384"/>
      <c r="BO33" s="239">
        <f t="shared" si="73"/>
        <v>0.7</v>
      </c>
      <c r="BP33" s="340">
        <f t="shared" si="74"/>
        <v>0.7</v>
      </c>
      <c r="BR33" s="163" t="s">
        <v>142</v>
      </c>
      <c r="BW33">
        <f>LN(1885/1160)/23</f>
        <v>2.1109035468769601E-2</v>
      </c>
      <c r="BZ33" s="77">
        <f>(LN(1+(BP30*BP31)))/12</f>
        <v>5.6259207756149482E-2</v>
      </c>
      <c r="CA33" t="s">
        <v>143</v>
      </c>
      <c r="CB33"/>
      <c r="CC33"/>
      <c r="CD33"/>
      <c r="CE33"/>
      <c r="CF33"/>
      <c r="CG33" s="31"/>
      <c r="CH33" s="31"/>
      <c r="CI33"/>
      <c r="CM33" s="9"/>
      <c r="DA33" s="5"/>
      <c r="DB33" s="352"/>
      <c r="DY33" s="56"/>
      <c r="EA33" s="463"/>
      <c r="EB33" s="463"/>
      <c r="EC33" s="463"/>
      <c r="ED33" s="463"/>
      <c r="EL33" s="5" t="s">
        <v>144</v>
      </c>
      <c r="EM33" s="152">
        <f>'Densité ajustée'!C21</f>
        <v>0</v>
      </c>
      <c r="EN33" s="152">
        <f>'Densité ajustée'!D21</f>
        <v>0</v>
      </c>
      <c r="EO33" s="152">
        <f>'Densité ajustée'!E21</f>
        <v>0</v>
      </c>
      <c r="EP33" s="152">
        <f>'Densité ajustée'!F21</f>
        <v>0</v>
      </c>
      <c r="EQ33" s="152">
        <f>'Densité ajustée'!G21</f>
        <v>0</v>
      </c>
      <c r="ER33" s="152">
        <f>'Densité ajustée'!H21</f>
        <v>0</v>
      </c>
      <c r="ES33" s="152">
        <f>'Densité ajustée'!I21</f>
        <v>0</v>
      </c>
      <c r="ET33" s="152">
        <f>'Densité ajustée'!J21</f>
        <v>0</v>
      </c>
      <c r="EU33" s="152">
        <f>'Densité ajustée'!K21</f>
        <v>0</v>
      </c>
      <c r="EV33" s="152">
        <f>'Densité ajustée'!L21</f>
        <v>0</v>
      </c>
      <c r="EW33" s="152">
        <f>'Densité ajustée'!M21</f>
        <v>0</v>
      </c>
      <c r="EX33" s="152">
        <f>'Densité ajustée'!N21</f>
        <v>0</v>
      </c>
      <c r="EY33" s="152">
        <f>'Densité ajustée'!O21</f>
        <v>0</v>
      </c>
      <c r="EZ33" s="152">
        <f>'Densité ajustée'!P21</f>
        <v>0</v>
      </c>
      <c r="FA33" s="152">
        <f>'Densité ajustée'!Q21</f>
        <v>0</v>
      </c>
      <c r="FB33" s="152">
        <f>'Densité ajustée'!R21</f>
        <v>0</v>
      </c>
      <c r="FC33" s="152">
        <f>'Densité ajustée'!S21</f>
        <v>0</v>
      </c>
      <c r="FD33" s="152">
        <f>'Densité ajustée'!T21</f>
        <v>0</v>
      </c>
      <c r="FE33" s="152">
        <f>'Densité ajustée'!U21</f>
        <v>0</v>
      </c>
      <c r="FF33" s="152">
        <f>'Densité ajustée'!V21</f>
        <v>0</v>
      </c>
      <c r="FG33" s="152">
        <f>'Densité ajustée'!W21</f>
        <v>0</v>
      </c>
      <c r="FH33" s="152">
        <f>'Densité ajustée'!X21</f>
        <v>0</v>
      </c>
      <c r="FI33" s="152">
        <f>'Densité ajustée'!Y21</f>
        <v>0</v>
      </c>
      <c r="FJ33" s="152">
        <f>'Densité ajustée'!Z21</f>
        <v>0</v>
      </c>
    </row>
    <row r="34" spans="2:166" ht="16.44">
      <c r="B34" s="444" t="str">
        <f>'Profils de colonie'!B58</f>
        <v>N : Essaim sur cadres, 5 cadres d’abeilles, 3 cadres de couvain, installé le 1er avril</v>
      </c>
      <c r="C34" s="444"/>
      <c r="D34" s="444"/>
      <c r="E34" s="444"/>
      <c r="F34" s="444"/>
      <c r="G34" s="444"/>
      <c r="H34" s="444"/>
      <c r="I34" s="444"/>
      <c r="J34" s="444"/>
      <c r="K34" s="444"/>
      <c r="L34" s="444"/>
      <c r="M34" s="444"/>
      <c r="AF34" s="126"/>
      <c r="AZ34" s="303">
        <f>C24</f>
        <v>1000</v>
      </c>
      <c r="BA34" s="6" t="s">
        <v>145</v>
      </c>
      <c r="BB34"/>
      <c r="BO34" s="269">
        <f t="shared" si="73"/>
        <v>5.0000000000000001E-3</v>
      </c>
      <c r="BP34" s="340">
        <f t="shared" si="74"/>
        <v>5.0000000000000001E-3</v>
      </c>
      <c r="BR34" s="163" t="s">
        <v>146</v>
      </c>
      <c r="BW34">
        <f>1160*EXP(BW33*45)</f>
        <v>2999.1430600487124</v>
      </c>
      <c r="BZ34" s="77">
        <f>12/17*BZ33+5/17*BW38</f>
        <v>3.823810493859249E-2</v>
      </c>
      <c r="CA34" s="5" t="s">
        <v>147</v>
      </c>
      <c r="CB34"/>
      <c r="CC34"/>
      <c r="CD34"/>
      <c r="CE34"/>
      <c r="CF34"/>
      <c r="CG34" s="31"/>
      <c r="CH34" s="31"/>
      <c r="CK34"/>
      <c r="CL34"/>
      <c r="CM34" s="23"/>
      <c r="CU34" s="12"/>
      <c r="CV34" s="365"/>
      <c r="CW34" s="365"/>
      <c r="CX34" s="365"/>
      <c r="CY34" s="365"/>
      <c r="CZ34" s="163"/>
      <c r="DA34" s="5"/>
      <c r="DB34" s="352"/>
      <c r="DH34" s="13"/>
      <c r="DI34" s="13"/>
      <c r="DJ34" s="13"/>
      <c r="DK34" s="13"/>
      <c r="DL34" s="13"/>
      <c r="DM34" s="13"/>
      <c r="DN34" s="13"/>
      <c r="DO34" s="25"/>
      <c r="EA34" s="463"/>
      <c r="EB34" s="463"/>
      <c r="EC34" s="463"/>
      <c r="ED34" s="463"/>
      <c r="EL34" s="2">
        <f t="shared" ref="EL34:EL57" si="75">AZ5</f>
        <v>40544</v>
      </c>
      <c r="EM34" s="129">
        <f>DH5</f>
        <v>100</v>
      </c>
      <c r="EN34" s="13">
        <f>EM34*(1-EM$33)*EXP($BW$39*15)</f>
        <v>92.756896881832787</v>
      </c>
      <c r="EO34" s="13">
        <f t="shared" ref="EO34:FD49" si="76">EN34*(1-EN$33)*EXP($BW$39*15)</f>
        <v>86.038419191469615</v>
      </c>
      <c r="EP34" s="13">
        <f t="shared" si="76"/>
        <v>79.806567768190504</v>
      </c>
      <c r="EQ34" s="13">
        <f t="shared" si="76"/>
        <v>74.026095769670462</v>
      </c>
      <c r="ER34" s="131">
        <f t="shared" si="76"/>
        <v>68.664309318720015</v>
      </c>
      <c r="ES34" s="131">
        <f t="shared" si="76"/>
        <v>63.690882589387826</v>
      </c>
      <c r="ET34" s="131">
        <f t="shared" si="76"/>
        <v>59.077686286567655</v>
      </c>
      <c r="EU34" s="131">
        <f t="shared" si="76"/>
        <v>54.798628549004228</v>
      </c>
      <c r="EV34" s="131">
        <f t="shared" si="76"/>
        <v>50.829507375858434</v>
      </c>
      <c r="EW34" s="131">
        <f t="shared" si="76"/>
        <v>47.147873742168599</v>
      </c>
      <c r="EX34" s="131">
        <f t="shared" si="76"/>
        <v>43.732904629000046</v>
      </c>
      <c r="EY34" s="131">
        <f t="shared" si="76"/>
        <v>40.565285250151852</v>
      </c>
      <c r="EZ34" s="131">
        <f t="shared" si="76"/>
        <v>37.627099809304681</v>
      </c>
      <c r="FA34" s="131">
        <f t="shared" si="76"/>
        <v>34.901730169741043</v>
      </c>
      <c r="FB34" s="131">
        <f t="shared" si="76"/>
        <v>32.373761863522219</v>
      </c>
      <c r="FC34" s="131">
        <f t="shared" si="76"/>
        <v>30.028896908517414</v>
      </c>
      <c r="FD34" s="131">
        <f t="shared" si="76"/>
        <v>27.853872940185369</v>
      </c>
      <c r="FE34" s="131">
        <f t="shared" ref="FE34:FJ49" si="77">FD34*(1-FD$33)*EXP($BW$39*15)</f>
        <v>25.836388200724468</v>
      </c>
      <c r="FF34" s="131">
        <f t="shared" si="77"/>
        <v>23.965031961336006</v>
      </c>
      <c r="FG34" s="131">
        <f t="shared" si="77"/>
        <v>22.229219984074707</v>
      </c>
      <c r="FH34" s="131">
        <f t="shared" si="77"/>
        <v>20.619134658263942</v>
      </c>
      <c r="FI34" s="131">
        <f t="shared" si="77"/>
        <v>19.125669472892127</v>
      </c>
      <c r="FJ34" s="131">
        <f t="shared" si="77"/>
        <v>17.740377510930724</v>
      </c>
    </row>
    <row r="35" spans="2:166" ht="16.44">
      <c r="B35" s="460" t="str">
        <f>'Profils de colonie'!B86</f>
        <v>P : Colonie constituée d’un paquet d’abeilles d’environ 1,36 kg (3 lb dans l’original), installé sur des rayons bâtis et bien nourri</v>
      </c>
      <c r="C35" s="460"/>
      <c r="D35" s="460"/>
      <c r="E35" s="460"/>
      <c r="F35" s="460"/>
      <c r="G35" s="460"/>
      <c r="H35" s="460"/>
      <c r="I35" s="460"/>
      <c r="J35" s="460"/>
      <c r="K35" s="460"/>
      <c r="L35" s="460"/>
      <c r="M35" s="460"/>
      <c r="BB35" s="374"/>
      <c r="BO35" s="269">
        <f t="shared" si="73"/>
        <v>5.0000000000000001E-3</v>
      </c>
      <c r="BP35" s="340">
        <f t="shared" si="74"/>
        <v>5.0000000000000001E-3</v>
      </c>
      <c r="BR35" s="163" t="s">
        <v>148</v>
      </c>
      <c r="BX35"/>
      <c r="BY35"/>
      <c r="CB35"/>
      <c r="CC35"/>
      <c r="CD35"/>
      <c r="CE35"/>
      <c r="CF35"/>
      <c r="CG35" s="31"/>
      <c r="CH35" s="31"/>
      <c r="CK35"/>
      <c r="CL35"/>
      <c r="CM35" s="23"/>
      <c r="CU35" s="12"/>
      <c r="CV35" s="365"/>
      <c r="CW35" s="365"/>
      <c r="CX35" s="365"/>
      <c r="CY35" s="365"/>
      <c r="CZ35" s="163"/>
      <c r="DA35" s="5"/>
      <c r="DB35" s="352"/>
      <c r="DH35" s="13"/>
      <c r="DI35" s="13"/>
      <c r="DJ35" s="13"/>
      <c r="DK35" s="13"/>
      <c r="DL35" s="13"/>
      <c r="DM35" s="13"/>
      <c r="DN35" s="13"/>
      <c r="DO35" s="25"/>
      <c r="EA35" s="463"/>
      <c r="EB35" s="463"/>
      <c r="EC35" s="463"/>
      <c r="ED35" s="463"/>
      <c r="EL35" s="2">
        <f t="shared" si="75"/>
        <v>40558</v>
      </c>
      <c r="EN35" s="129">
        <f>EL6</f>
        <v>15.609319551891964</v>
      </c>
      <c r="EO35" s="13">
        <f t="shared" si="76"/>
        <v>14.478720440704192</v>
      </c>
      <c r="EP35" s="13">
        <f t="shared" si="76"/>
        <v>13.430011788992832</v>
      </c>
      <c r="EQ35" s="13">
        <f t="shared" si="76"/>
        <v>12.457262186334068</v>
      </c>
      <c r="ER35" s="13">
        <f t="shared" si="76"/>
        <v>11.55496984047744</v>
      </c>
      <c r="ES35" s="131">
        <f t="shared" si="76"/>
        <v>10.718031459658537</v>
      </c>
      <c r="ET35" s="131">
        <f>ES35*(1-ES$33)*EXP($BW$39*15)</f>
        <v>9.9417133887978668</v>
      </c>
      <c r="EU35" s="131">
        <f t="shared" si="76"/>
        <v>9.2216248363346018</v>
      </c>
      <c r="EV35" s="131">
        <f t="shared" si="76"/>
        <v>8.5536930402683673</v>
      </c>
      <c r="EW35" s="131">
        <f t="shared" si="76"/>
        <v>7.9341402329502371</v>
      </c>
      <c r="EX35" s="131">
        <f t="shared" si="76"/>
        <v>7.359462274337659</v>
      </c>
      <c r="EY35" s="131">
        <f t="shared" si="76"/>
        <v>6.8264088328647681</v>
      </c>
      <c r="EZ35" s="131">
        <f t="shared" si="76"/>
        <v>6.3319650018326978</v>
      </c>
      <c r="FA35" s="131">
        <f t="shared" si="76"/>
        <v>5.8733342473436965</v>
      </c>
      <c r="FB35" s="131">
        <f t="shared" si="76"/>
        <v>5.4479225913339624</v>
      </c>
      <c r="FC35" s="131">
        <f t="shared" si="76"/>
        <v>5.0533239402457157</v>
      </c>
      <c r="FD35" s="131">
        <f t="shared" si="76"/>
        <v>4.687306476358688</v>
      </c>
      <c r="FE35" s="131">
        <f t="shared" si="77"/>
        <v>4.347800034811498</v>
      </c>
      <c r="FF35" s="131">
        <f t="shared" si="77"/>
        <v>4.0328843949183915</v>
      </c>
      <c r="FG35" s="131">
        <f t="shared" si="77"/>
        <v>3.7407784195579783</v>
      </c>
      <c r="FH35" s="131">
        <f t="shared" si="77"/>
        <v>3.4698299812072482</v>
      </c>
      <c r="FI35" s="131">
        <f t="shared" si="77"/>
        <v>3.218506617643325</v>
      </c>
      <c r="FJ35" s="131">
        <f t="shared" si="77"/>
        <v>2.9853868644623831</v>
      </c>
    </row>
    <row r="36" spans="2:166" ht="16.44">
      <c r="B36" s="350" t="str">
        <f>'Profils de colonie'!B114</f>
        <v>A : Colonie subtropicale, climat sec ; pas de rupture hivernale de couvain — sud de la Californie</v>
      </c>
      <c r="C36" s="350"/>
      <c r="D36" s="350"/>
      <c r="E36" s="350"/>
      <c r="F36" s="350"/>
      <c r="G36" s="350"/>
      <c r="H36" s="350"/>
      <c r="I36" s="350"/>
      <c r="J36" s="350"/>
      <c r="K36" s="328"/>
      <c r="L36" s="329"/>
      <c r="M36" s="330"/>
      <c r="AG36" s="405" t="s">
        <v>149</v>
      </c>
      <c r="AH36" s="405"/>
      <c r="AI36" s="405"/>
      <c r="AJ36" s="405"/>
      <c r="AK36" s="405"/>
      <c r="AL36" s="405"/>
      <c r="AM36" s="405"/>
      <c r="AN36" s="405"/>
      <c r="AO36" s="405"/>
      <c r="AP36" s="405"/>
      <c r="AQ36" s="405"/>
      <c r="AR36" s="405"/>
      <c r="AS36" s="405"/>
      <c r="AT36" s="405"/>
      <c r="AU36" s="405"/>
      <c r="AV36" s="405"/>
      <c r="AW36" s="405"/>
      <c r="AX36" s="405"/>
      <c r="AY36" s="405"/>
      <c r="BB36"/>
      <c r="BN36" s="49"/>
      <c r="BO36" s="239">
        <f t="shared" si="73"/>
        <v>0.6</v>
      </c>
      <c r="BP36" s="339">
        <f t="shared" si="74"/>
        <v>0.6</v>
      </c>
      <c r="BR36" s="163" t="s">
        <v>150</v>
      </c>
      <c r="CB36"/>
      <c r="CC36"/>
      <c r="CD36"/>
      <c r="CE36"/>
      <c r="CG36" s="31"/>
      <c r="CH36" s="31"/>
      <c r="CK36"/>
      <c r="CL36"/>
      <c r="CM36" s="23"/>
      <c r="CU36" s="12"/>
      <c r="CV36" s="365"/>
      <c r="CW36" s="365"/>
      <c r="CX36" s="365"/>
      <c r="CY36" s="365"/>
      <c r="CZ36" s="163"/>
      <c r="DA36" s="5"/>
      <c r="DH36" s="13"/>
      <c r="DI36" s="13"/>
      <c r="DJ36" s="13"/>
      <c r="DK36" s="13"/>
      <c r="DL36" s="13"/>
      <c r="DM36" s="13"/>
      <c r="DN36" s="13"/>
      <c r="DO36" s="25"/>
      <c r="EL36" s="2">
        <f t="shared" si="75"/>
        <v>40575</v>
      </c>
      <c r="EO36" s="129">
        <f>EL7</f>
        <v>35.782676229362181</v>
      </c>
      <c r="EP36" s="13">
        <f t="shared" si="76"/>
        <v>33.190900091629572</v>
      </c>
      <c r="EQ36" s="13">
        <f t="shared" si="76"/>
        <v>30.786848972144984</v>
      </c>
      <c r="ER36" s="13">
        <f t="shared" si="76"/>
        <v>28.556925754258121</v>
      </c>
      <c r="ES36" s="13">
        <f t="shared" si="76"/>
        <v>26.488518174498754</v>
      </c>
      <c r="ET36" s="131">
        <f t="shared" si="76"/>
        <v>24.569927488645344</v>
      </c>
      <c r="EU36" s="131">
        <f t="shared" si="76"/>
        <v>22.79030230458385</v>
      </c>
      <c r="EV36" s="131">
        <f t="shared" si="76"/>
        <v>21.139577207720802</v>
      </c>
      <c r="EW36" s="131">
        <f t="shared" si="76"/>
        <v>19.608415831821009</v>
      </c>
      <c r="EX36" s="131">
        <f t="shared" si="76"/>
        <v>18.188158053283189</v>
      </c>
      <c r="EY36" s="131">
        <f t="shared" si="76"/>
        <v>16.870771010188651</v>
      </c>
      <c r="EZ36" s="131">
        <f t="shared" si="76"/>
        <v>15.648803669090826</v>
      </c>
      <c r="FA36" s="131">
        <f t="shared" si="76"/>
        <v>14.515344682579043</v>
      </c>
      <c r="FB36" s="131">
        <f t="shared" si="76"/>
        <v>13.463983299262441</v>
      </c>
      <c r="FC36" s="131">
        <f t="shared" si="76"/>
        <v>12.48877310508405</v>
      </c>
      <c r="FD36" s="131">
        <f t="shared" si="76"/>
        <v>11.584198390888879</v>
      </c>
      <c r="FE36" s="131">
        <f t="shared" si="77"/>
        <v>10.745142956023731</v>
      </c>
      <c r="FF36" s="131">
        <f t="shared" si="77"/>
        <v>9.9668611715244513</v>
      </c>
      <c r="FG36" s="131">
        <f t="shared" si="77"/>
        <v>9.2449511392263659</v>
      </c>
      <c r="FH36" s="131">
        <f t="shared" si="77"/>
        <v>8.5753297949880256</v>
      </c>
      <c r="FI36" s="131">
        <f t="shared" si="77"/>
        <v>7.9542098152141261</v>
      </c>
      <c r="FJ36" s="131">
        <f t="shared" si="77"/>
        <v>7.3780781960627886</v>
      </c>
    </row>
    <row r="37" spans="2:166" ht="16.19" customHeight="1">
      <c r="B37" s="460" t="str">
        <f>'Profils de colonie'!B142</f>
        <v>B : Colonie de haute latitude — été court et longue rupture hivernale de couvain</v>
      </c>
      <c r="C37" s="460"/>
      <c r="D37" s="460"/>
      <c r="E37" s="460"/>
      <c r="F37" s="460"/>
      <c r="G37" s="460"/>
      <c r="H37" s="460"/>
      <c r="I37" s="460"/>
      <c r="J37" s="460"/>
      <c r="K37" s="460"/>
      <c r="L37" s="460"/>
      <c r="M37" s="460"/>
      <c r="AG37" s="268" t="s">
        <v>151</v>
      </c>
      <c r="BB37"/>
      <c r="BP37">
        <v>15.208333333333334</v>
      </c>
      <c r="BR37" s="163" t="s">
        <v>152</v>
      </c>
      <c r="BV37" t="s">
        <v>14</v>
      </c>
      <c r="CB37"/>
      <c r="CC37"/>
      <c r="CD37"/>
      <c r="CE37"/>
      <c r="CG37" s="31"/>
      <c r="CH37" s="31"/>
      <c r="CK37"/>
      <c r="CL37"/>
      <c r="CM37" s="23"/>
      <c r="CT37" s="31"/>
      <c r="CU37" s="12"/>
      <c r="CV37" s="365"/>
      <c r="CW37" s="365"/>
      <c r="CX37" s="365"/>
      <c r="CY37" s="365"/>
      <c r="CZ37" s="163"/>
      <c r="DA37" s="5"/>
      <c r="DH37" s="13"/>
      <c r="DI37" s="13"/>
      <c r="DJ37" s="13"/>
      <c r="DK37" s="13"/>
      <c r="DL37" s="13"/>
      <c r="DM37" s="13"/>
      <c r="DN37" s="13"/>
      <c r="DO37" s="25"/>
      <c r="EL37" s="2">
        <f t="shared" si="75"/>
        <v>40589</v>
      </c>
      <c r="EP37" s="129">
        <f>EL8</f>
        <v>55.543202415448647</v>
      </c>
      <c r="EQ37" s="13">
        <f t="shared" si="76"/>
        <v>51.520150989365355</v>
      </c>
      <c r="ER37" s="13">
        <f t="shared" si="76"/>
        <v>47.788493326570176</v>
      </c>
      <c r="ES37" s="13">
        <f t="shared" si="76"/>
        <v>44.327123476308238</v>
      </c>
      <c r="ET37" s="13">
        <f t="shared" si="76"/>
        <v>41.116464213601922</v>
      </c>
      <c r="EU37" s="131">
        <f t="shared" si="76"/>
        <v>38.138356312066414</v>
      </c>
      <c r="EV37" s="131">
        <f t="shared" si="76"/>
        <v>35.37595583680941</v>
      </c>
      <c r="EW37" s="131">
        <f t="shared" si="76"/>
        <v>32.813638876512009</v>
      </c>
      <c r="EX37" s="131">
        <f t="shared" si="76"/>
        <v>30.436913175863239</v>
      </c>
      <c r="EY37" s="131">
        <f t="shared" si="76"/>
        <v>28.232336168548439</v>
      </c>
      <c r="EZ37" s="131">
        <f t="shared" si="76"/>
        <v>26.187438947192856</v>
      </c>
      <c r="FA37" s="131">
        <f t="shared" si="76"/>
        <v>24.290655740240595</v>
      </c>
      <c r="FB37" s="131">
        <f t="shared" si="76"/>
        <v>22.531258496895965</v>
      </c>
      <c r="FC37" s="131">
        <f t="shared" si="76"/>
        <v>20.899296210144978</v>
      </c>
      <c r="FD37" s="131">
        <f t="shared" si="76"/>
        <v>19.385538634672965</v>
      </c>
      <c r="FE37" s="131">
        <f t="shared" si="77"/>
        <v>17.981424081351456</v>
      </c>
      <c r="FF37" s="131">
        <f t="shared" si="77"/>
        <v>16.679010993024217</v>
      </c>
      <c r="FG37" s="131">
        <f t="shared" si="77"/>
        <v>15.470933027709028</v>
      </c>
      <c r="FH37" s="131">
        <f t="shared" si="77"/>
        <v>14.350357395169475</v>
      </c>
      <c r="FI37" s="131">
        <f t="shared" si="77"/>
        <v>13.310946211211816</v>
      </c>
      <c r="FJ37" s="131">
        <f t="shared" si="77"/>
        <v>12.346820651129972</v>
      </c>
    </row>
    <row r="38" spans="2:166" ht="16.19" customHeight="1">
      <c r="B38" s="444" t="str">
        <f>'Profils de colonie'!B170</f>
        <v>C : colonie californienne sur 8 cadres utilisée pour les amandiers, dont des abeilles sont prélevées par secouage deux fois en avril. Saisir un « traitement » de 25 % en avril pour tenir compte des varroas emportés avec ces abeilles.</v>
      </c>
      <c r="C38" s="444"/>
      <c r="D38" s="444"/>
      <c r="E38" s="444"/>
      <c r="F38" s="444"/>
      <c r="G38" s="444"/>
      <c r="H38" s="444"/>
      <c r="I38" s="444"/>
      <c r="J38" s="444"/>
      <c r="K38" s="444"/>
      <c r="L38" s="444"/>
      <c r="M38" s="444"/>
      <c r="AG38" s="6" t="s">
        <v>153</v>
      </c>
      <c r="AH38" s="352"/>
      <c r="BB38" s="374"/>
      <c r="BF38" s="54"/>
      <c r="BW38" s="72">
        <f>LN(1-BP34)</f>
        <v>-5.0125418235442863E-3</v>
      </c>
      <c r="BX38" s="352" t="s">
        <v>154</v>
      </c>
      <c r="CG38" s="24"/>
      <c r="CH38" s="24"/>
      <c r="CK38"/>
      <c r="CL38"/>
      <c r="CM38" s="23"/>
      <c r="CT38" s="31"/>
      <c r="CU38" s="12"/>
      <c r="CV38" s="365"/>
      <c r="CW38" s="365"/>
      <c r="CX38" s="365"/>
      <c r="CY38" s="365"/>
      <c r="CZ38" s="163"/>
      <c r="DA38" s="5"/>
      <c r="DO38" s="25"/>
      <c r="EL38" s="2">
        <f t="shared" si="75"/>
        <v>40603</v>
      </c>
      <c r="EQ38" s="129">
        <f>EL9</f>
        <v>76.617436997591824</v>
      </c>
      <c r="ER38" s="13">
        <f>EQ38*(1-EQ$33)*EXP($BW$39*15)</f>
        <v>71.067957029359448</v>
      </c>
      <c r="ES38" s="13">
        <f t="shared" si="76"/>
        <v>65.920431617748179</v>
      </c>
      <c r="ET38" s="13">
        <f t="shared" si="76"/>
        <v>61.14574677973377</v>
      </c>
      <c r="EU38" s="13">
        <f t="shared" si="76"/>
        <v>56.716897288104242</v>
      </c>
      <c r="EV38" s="131">
        <f t="shared" si="76"/>
        <v>52.608833932101867</v>
      </c>
      <c r="EW38" s="131">
        <f t="shared" si="76"/>
        <v>48.798321841134381</v>
      </c>
      <c r="EX38" s="131">
        <f t="shared" si="76"/>
        <v>45.263809070245905</v>
      </c>
      <c r="EY38" s="131">
        <f t="shared" si="76"/>
        <v>41.98530470407767</v>
      </c>
      <c r="EZ38" s="131">
        <f t="shared" si="76"/>
        <v>38.944265789884611</v>
      </c>
      <c r="FA38" s="131">
        <f t="shared" si="76"/>
        <v>36.12349246011015</v>
      </c>
      <c r="FB38" s="131">
        <f t="shared" si="76"/>
        <v>33.507030651341012</v>
      </c>
      <c r="FC38" s="131">
        <f t="shared" si="76"/>
        <v>31.080081869428486</v>
      </c>
      <c r="FD38" s="131">
        <f t="shared" si="76"/>
        <v>28.828919490414989</v>
      </c>
      <c r="FE38" s="131">
        <f t="shared" si="77"/>
        <v>26.740811123870824</v>
      </c>
      <c r="FF38" s="131">
        <f t="shared" si="77"/>
        <v>24.80394659953453</v>
      </c>
      <c r="FG38" s="131">
        <f t="shared" si="77"/>
        <v>23.007371169955114</v>
      </c>
      <c r="FH38" s="131">
        <f t="shared" si="77"/>
        <v>21.340923551335791</v>
      </c>
      <c r="FI38" s="131">
        <f t="shared" si="77"/>
        <v>19.795178452143308</v>
      </c>
      <c r="FJ38" s="131">
        <f t="shared" si="77"/>
        <v>18.361393264429353</v>
      </c>
    </row>
    <row r="39" spans="2:166" ht="16.19" customHeight="1">
      <c r="B39" s="444"/>
      <c r="C39" s="444"/>
      <c r="D39" s="444"/>
      <c r="E39" s="444"/>
      <c r="F39" s="444"/>
      <c r="G39" s="444"/>
      <c r="H39" s="444"/>
      <c r="I39" s="444"/>
      <c r="J39" s="444"/>
      <c r="K39" s="444"/>
      <c r="L39" s="444"/>
      <c r="M39" s="444"/>
      <c r="AG39" s="406"/>
      <c r="AH39" s="407"/>
      <c r="AI39" t="s">
        <v>155</v>
      </c>
      <c r="BB39" s="374"/>
      <c r="BD39" t="s">
        <v>14</v>
      </c>
      <c r="BG39" s="56"/>
      <c r="BW39" s="72">
        <f>LN(1-BP35)</f>
        <v>-5.0125418235442863E-3</v>
      </c>
      <c r="BX39" s="352" t="s">
        <v>156</v>
      </c>
      <c r="CG39" s="24"/>
      <c r="CH39" s="24"/>
      <c r="CJ39" s="47"/>
      <c r="CK39"/>
      <c r="CL39"/>
      <c r="CM39" s="23"/>
      <c r="CT39" s="31"/>
      <c r="CU39" s="12"/>
      <c r="CV39" s="365"/>
      <c r="CW39" s="365"/>
      <c r="CX39" s="365"/>
      <c r="CY39" s="365"/>
      <c r="CZ39" s="163"/>
      <c r="DA39" s="5"/>
      <c r="DO39" s="25"/>
      <c r="EL39" s="2">
        <f t="shared" si="75"/>
        <v>40617</v>
      </c>
      <c r="ER39" s="129">
        <f>EL10</f>
        <v>133.61866548506168</v>
      </c>
      <c r="ES39" s="13">
        <f t="shared" si="76"/>
        <v>123.94052775885976</v>
      </c>
      <c r="ET39" s="13">
        <f t="shared" si="76"/>
        <v>114.96338752808488</v>
      </c>
      <c r="EU39" s="13">
        <f t="shared" si="76"/>
        <v>106.6364708212875</v>
      </c>
      <c r="EV39" s="13">
        <f t="shared" si="76"/>
        <v>98.912681278127351</v>
      </c>
      <c r="EW39" s="131">
        <f t="shared" si="76"/>
        <v>91.748333776208511</v>
      </c>
      <c r="EX39" s="131">
        <f t="shared" si="76"/>
        <v>85.102907351597494</v>
      </c>
      <c r="EY39" s="131">
        <f t="shared" si="76"/>
        <v>78.938816015562978</v>
      </c>
      <c r="EZ39" s="131">
        <f t="shared" si="76"/>
        <v>73.22119617129546</v>
      </c>
      <c r="FA39" s="131">
        <f t="shared" si="76"/>
        <v>67.917709428253019</v>
      </c>
      <c r="FB39" s="131">
        <f t="shared" si="76"/>
        <v>62.998359698867475</v>
      </c>
      <c r="FC39" s="131">
        <f t="shared" si="76"/>
        <v>58.435323543124603</v>
      </c>
      <c r="FD39" s="131">
        <f t="shared" si="76"/>
        <v>54.202792801461442</v>
      </c>
      <c r="FE39" s="131">
        <f t="shared" si="77"/>
        <v>50.27682862592507</v>
      </c>
      <c r="FF39" s="131">
        <f t="shared" si="77"/>
        <v>46.635226084005104</v>
      </c>
      <c r="FG39" s="131">
        <f t="shared" si="77"/>
        <v>43.257388569350198</v>
      </c>
      <c r="FH39" s="131">
        <f t="shared" si="77"/>
        <v>40.124211309045883</v>
      </c>
      <c r="FI39" s="131">
        <f t="shared" si="77"/>
        <v>37.217973308580376</v>
      </c>
      <c r="FJ39" s="131">
        <f t="shared" si="77"/>
        <v>34.522237123347949</v>
      </c>
    </row>
    <row r="40" spans="2:166" ht="16.19" customHeight="1">
      <c r="B40" s="444" t="str">
        <f>'Profils de colonie'!B198</f>
        <v>R : Ruches californiennes de Randy, divisées en 4 après la floraison des amandiers et traitées à l’acide oxalique (saisissez une réduction totale des varroas de 90 % au 1er avril, correspondant à la division en 4, au traitement oxalique et au retrait du cadre de mâles)</v>
      </c>
      <c r="C40" s="444"/>
      <c r="D40" s="444"/>
      <c r="E40" s="444"/>
      <c r="F40" s="444"/>
      <c r="G40" s="444"/>
      <c r="H40" s="444"/>
      <c r="I40" s="444"/>
      <c r="J40" s="444"/>
      <c r="K40" s="444"/>
      <c r="L40" s="444"/>
      <c r="M40" s="444"/>
      <c r="AG40" s="361" t="str">
        <f>IF($AG$39="","V","")</f>
        <v>V</v>
      </c>
      <c r="AH40" s="361" t="str">
        <f>IF($AG$39="custom","V","")</f>
        <v/>
      </c>
      <c r="AI40" s="100" t="str">
        <f>IF($AG$39="","Les valeurs par défaut en bleu s’appliquent — saisissez « custom » dans la cellule verte pour les modifier",IF(AG39="custom","Les valeurs personnalisées s’appliquent — remarquez les effets considérables de très faibles modifications de certaines variables !","Erreur"))</f>
        <v>Les valeurs par défaut en bleu s’appliquent — saisissez « custom » dans la cellule verte pour les modifier</v>
      </c>
      <c r="AY40" t="s">
        <v>157</v>
      </c>
      <c r="BB40" s="374"/>
      <c r="BG40" s="56"/>
      <c r="BO40" s="240">
        <f>AG50</f>
        <v>0.05</v>
      </c>
      <c r="BP40" s="136">
        <f>IF($AG$39="custom",AH50,IF($AG$39="",BO40,"erreur"))</f>
        <v>0.05</v>
      </c>
      <c r="BQ40" s="337"/>
      <c r="BR40" s="163" t="s">
        <v>158</v>
      </c>
      <c r="CG40" s="31"/>
      <c r="CH40" s="31"/>
      <c r="CK40" s="16"/>
      <c r="CL40" s="16"/>
      <c r="CM40" s="32"/>
      <c r="CT40" s="31"/>
      <c r="CU40" s="12"/>
      <c r="CV40" s="365"/>
      <c r="CW40" s="365"/>
      <c r="CX40" s="365"/>
      <c r="CY40" s="365"/>
      <c r="CZ40" s="163"/>
      <c r="DA40" s="5"/>
      <c r="DO40" s="25"/>
      <c r="EL40" s="2">
        <f t="shared" si="75"/>
        <v>40634</v>
      </c>
      <c r="ES40" s="129">
        <f>EL11</f>
        <v>239.45865632138995</v>
      </c>
      <c r="ET40" s="13">
        <f t="shared" si="76"/>
        <v>222.11441891865405</v>
      </c>
      <c r="EU40" s="13">
        <f t="shared" si="76"/>
        <v>206.02644251605804</v>
      </c>
      <c r="EV40" s="13">
        <f t="shared" si="76"/>
        <v>191.10373483392846</v>
      </c>
      <c r="EW40" s="13">
        <f t="shared" si="76"/>
        <v>177.26189425723817</v>
      </c>
      <c r="EX40" s="131">
        <f t="shared" si="76"/>
        <v>164.42263246696987</v>
      </c>
      <c r="EY40" s="131">
        <f t="shared" si="76"/>
        <v>152.51333164778217</v>
      </c>
      <c r="EZ40" s="131">
        <f t="shared" si="76"/>
        <v>141.46663376758096</v>
      </c>
      <c r="FA40" s="131">
        <f t="shared" si="76"/>
        <v>131.22005960599512</v>
      </c>
      <c r="FB40" s="131">
        <f t="shared" si="76"/>
        <v>121.71565537701241</v>
      </c>
      <c r="FC40" s="131">
        <f t="shared" si="76"/>
        <v>112.89966494710237</v>
      </c>
      <c r="FD40" s="131">
        <f t="shared" si="76"/>
        <v>104.72222579491846</v>
      </c>
      <c r="FE40" s="131">
        <f t="shared" si="77"/>
        <v>97.137086992952604</v>
      </c>
      <c r="FF40" s="131">
        <f t="shared" si="77"/>
        <v>90.101347616069248</v>
      </c>
      <c r="FG40" s="131">
        <f t="shared" si="77"/>
        <v>83.57521409737906</v>
      </c>
      <c r="FH40" s="131">
        <f t="shared" si="77"/>
        <v>77.521775159076867</v>
      </c>
      <c r="FI40" s="131">
        <f t="shared" si="77"/>
        <v>71.906793045271186</v>
      </c>
      <c r="FJ40" s="131">
        <f t="shared" si="77"/>
        <v>66.698509876035104</v>
      </c>
    </row>
    <row r="41" spans="2:166" ht="16" customHeight="1">
      <c r="B41" s="444"/>
      <c r="C41" s="444"/>
      <c r="D41" s="444"/>
      <c r="E41" s="444"/>
      <c r="F41" s="444"/>
      <c r="G41" s="444"/>
      <c r="H41" s="444"/>
      <c r="I41" s="444"/>
      <c r="J41" s="444"/>
      <c r="K41" s="444"/>
      <c r="L41" s="444"/>
      <c r="M41" s="444"/>
      <c r="AG41" s="96">
        <v>1.45</v>
      </c>
      <c r="AH41" s="237">
        <v>1.45</v>
      </c>
      <c r="AI41" s="163" t="s">
        <v>159</v>
      </c>
      <c r="AX41" s="412" t="s">
        <v>14</v>
      </c>
      <c r="AY41" s="412"/>
      <c r="AZ41" s="408">
        <f>IF(AG39="custom", AH41*AH42,AG41*AG42)</f>
        <v>1.0149999999999999</v>
      </c>
      <c r="BA41" s="429" t="s">
        <v>160</v>
      </c>
      <c r="BB41" s="430"/>
      <c r="BC41" s="430"/>
      <c r="BD41" s="430"/>
      <c r="BE41" s="430"/>
      <c r="BF41" s="430"/>
      <c r="BG41" s="430"/>
      <c r="BH41" s="430"/>
      <c r="BI41" s="430"/>
      <c r="BJ41" s="431"/>
      <c r="CG41" s="31"/>
      <c r="CH41" s="31"/>
      <c r="CK41"/>
      <c r="CL41"/>
      <c r="CM41" s="23"/>
      <c r="CT41" s="31"/>
      <c r="CU41" s="12"/>
      <c r="CV41" s="365"/>
      <c r="CW41" s="365"/>
      <c r="CX41" s="365"/>
      <c r="CY41" s="365"/>
      <c r="CZ41" s="163"/>
      <c r="DA41" s="5"/>
      <c r="DO41" s="25"/>
      <c r="EL41" s="2">
        <f t="shared" si="75"/>
        <v>40648</v>
      </c>
      <c r="ET41" s="129">
        <f>EL12</f>
        <v>363.52884483293138</v>
      </c>
      <c r="EU41" s="13">
        <f t="shared" si="76"/>
        <v>337.19807573740007</v>
      </c>
      <c r="EV41" s="13">
        <f t="shared" si="76"/>
        <v>312.7744713992646</v>
      </c>
      <c r="EW41" s="13">
        <f t="shared" si="76"/>
        <v>290.11989390851346</v>
      </c>
      <c r="EX41" s="13">
        <f t="shared" si="76"/>
        <v>269.1062108264025</v>
      </c>
      <c r="EY41" s="131">
        <f t="shared" si="76"/>
        <v>249.61457047885369</v>
      </c>
      <c r="EZ41" s="131">
        <f t="shared" si="76"/>
        <v>231.53472974110014</v>
      </c>
      <c r="FA41" s="131">
        <f t="shared" si="76"/>
        <v>214.76443051158247</v>
      </c>
      <c r="FB41" s="131">
        <f t="shared" si="76"/>
        <v>199.20882134848398</v>
      </c>
      <c r="FC41" s="131">
        <f t="shared" si="76"/>
        <v>184.77992099772777</v>
      </c>
      <c r="FD41" s="131">
        <f t="shared" si="76"/>
        <v>171.39612077819444</v>
      </c>
      <c r="FE41" s="131">
        <f t="shared" si="77"/>
        <v>158.98172300969139</v>
      </c>
      <c r="FF41" s="131">
        <f t="shared" si="77"/>
        <v>147.46651287306048</v>
      </c>
      <c r="FG41" s="131">
        <f t="shared" si="77"/>
        <v>136.78536128089937</v>
      </c>
      <c r="FH41" s="131">
        <f t="shared" si="77"/>
        <v>126.87785651276626</v>
      </c>
      <c r="FI41" s="131">
        <f t="shared" si="77"/>
        <v>117.68796253142636</v>
      </c>
      <c r="FJ41" s="131">
        <f t="shared" si="77"/>
        <v>109.16370204760516</v>
      </c>
    </row>
    <row r="42" spans="2:166" ht="16" customHeight="1">
      <c r="B42" s="444" t="str">
        <f>'Profils de colonie'!B226</f>
        <v>S : colonie essaimant en mai ; saisir une réduction des varroas de 50–60 % par « traitement » le 15 mai.</v>
      </c>
      <c r="C42" s="444"/>
      <c r="D42" s="444"/>
      <c r="E42" s="444"/>
      <c r="F42" s="444"/>
      <c r="G42" s="444"/>
      <c r="H42" s="444"/>
      <c r="I42" s="444"/>
      <c r="J42" s="444"/>
      <c r="K42" s="444"/>
      <c r="L42" s="444"/>
      <c r="M42" s="444"/>
      <c r="AG42" s="90">
        <v>0.7</v>
      </c>
      <c r="AH42" s="187">
        <v>0.7</v>
      </c>
      <c r="AI42" s="163" t="s">
        <v>161</v>
      </c>
      <c r="AW42" s="409" t="s">
        <v>14</v>
      </c>
      <c r="AX42" s="409"/>
      <c r="AY42" s="374"/>
      <c r="AZ42" s="408"/>
      <c r="BA42" s="432"/>
      <c r="BB42" s="433"/>
      <c r="BC42" s="433"/>
      <c r="BD42" s="433"/>
      <c r="BE42" s="433"/>
      <c r="BF42" s="433"/>
      <c r="BG42" s="433"/>
      <c r="BH42" s="433"/>
      <c r="BI42" s="433"/>
      <c r="BJ42" s="434"/>
      <c r="BO42" s="12">
        <v>5</v>
      </c>
      <c r="BP42" s="50">
        <f>IF($AG$39="custom",AH49,IF($AG$39="",BO42,"erreur"))</f>
        <v>5</v>
      </c>
      <c r="BQ42" s="338"/>
      <c r="BR42" t="s">
        <v>162</v>
      </c>
      <c r="CG42" s="31"/>
      <c r="CH42" s="31"/>
      <c r="CK42"/>
      <c r="CL42"/>
      <c r="CM42" s="23"/>
      <c r="CT42" s="31"/>
      <c r="CU42" s="12"/>
      <c r="CV42" s="365"/>
      <c r="CW42" s="365"/>
      <c r="CX42" s="365"/>
      <c r="CY42" s="365"/>
      <c r="CZ42" s="163"/>
      <c r="DA42" s="5"/>
      <c r="DO42" s="25"/>
      <c r="EL42" s="2">
        <f t="shared" si="75"/>
        <v>40664</v>
      </c>
      <c r="EN42" s="130" t="s">
        <v>163</v>
      </c>
      <c r="EO42" s="130"/>
      <c r="EP42" s="130"/>
      <c r="EQ42" s="130"/>
      <c r="EU42" s="129">
        <f>EL13</f>
        <v>583.6810929610192</v>
      </c>
      <c r="EV42" s="13">
        <f t="shared" si="76"/>
        <v>541.40446951660715</v>
      </c>
      <c r="EW42" s="13">
        <f t="shared" si="76"/>
        <v>502.18998550315308</v>
      </c>
      <c r="EX42" s="13">
        <f t="shared" si="76"/>
        <v>465.81584700405074</v>
      </c>
      <c r="EY42" s="13">
        <f t="shared" si="76"/>
        <v>432.07632486478332</v>
      </c>
      <c r="EZ42" s="131">
        <f t="shared" si="76"/>
        <v>400.78059110563987</v>
      </c>
      <c r="FA42" s="131">
        <f t="shared" si="76"/>
        <v>371.75163961425829</v>
      </c>
      <c r="FB42" s="131">
        <f t="shared" si="76"/>
        <v>344.82528501352022</v>
      </c>
      <c r="FC42" s="131">
        <f t="shared" si="76"/>
        <v>319.84923404247695</v>
      </c>
      <c r="FD42" s="131">
        <f t="shared" si="76"/>
        <v>296.68222419811235</v>
      </c>
      <c r="FE42" s="131">
        <f t="shared" si="77"/>
        <v>275.193224766171</v>
      </c>
      <c r="FF42" s="131">
        <f t="shared" si="77"/>
        <v>255.26069572214755</v>
      </c>
      <c r="FG42" s="131">
        <f t="shared" si="77"/>
        <v>236.77190031084135</v>
      </c>
      <c r="FH42" s="131">
        <f t="shared" si="77"/>
        <v>219.62226741648303</v>
      </c>
      <c r="FI42" s="131">
        <f t="shared" si="77"/>
        <v>203.7148001170502</v>
      </c>
      <c r="FJ42" s="131">
        <f t="shared" si="77"/>
        <v>188.95952707760404</v>
      </c>
    </row>
    <row r="43" spans="2:166" ht="16.19" customHeight="1">
      <c r="B43" s="460" t="str">
        <f>'Profils de colonie'!B254</f>
        <v xml:space="preserve">F : colonie sauvage limitée à une cavité de 40 litres (1 corps Langstroth), essaimant deux fois</v>
      </c>
      <c r="C43" s="460"/>
      <c r="D43" s="460"/>
      <c r="E43" s="460"/>
      <c r="F43" s="460"/>
      <c r="G43" s="460"/>
      <c r="H43" s="460"/>
      <c r="I43" s="460"/>
      <c r="J43" s="460"/>
      <c r="K43" s="460"/>
      <c r="L43" s="460"/>
      <c r="M43" s="460"/>
      <c r="AG43" s="96">
        <v>3.5</v>
      </c>
      <c r="AH43" s="237">
        <v>3.5</v>
      </c>
      <c r="AI43" s="163" t="s">
        <v>164</v>
      </c>
      <c r="AS43" s="410" t="s">
        <v>165</v>
      </c>
      <c r="AT43" s="385" t="s">
        <v>166</v>
      </c>
      <c r="AU43" s="385"/>
      <c r="AV43" s="385"/>
      <c r="AW43" s="385"/>
      <c r="AX43" s="385"/>
      <c r="BA43" s="435"/>
      <c r="BB43" s="436"/>
      <c r="BC43" s="436"/>
      <c r="BD43" s="436"/>
      <c r="BE43" s="436"/>
      <c r="BF43" s="436"/>
      <c r="BG43" s="436"/>
      <c r="BH43" s="436"/>
      <c r="BI43" s="436"/>
      <c r="BJ43" s="437"/>
      <c r="BO43" s="12">
        <v>5</v>
      </c>
      <c r="BP43" s="50">
        <f>IF($AG$39="custom",$AH$48,IF($AG$39="",BO43,"erreur"))</f>
        <v>5</v>
      </c>
      <c r="BQ43" s="338"/>
      <c r="BR43" t="s">
        <v>167</v>
      </c>
      <c r="CG43" s="31"/>
      <c r="CH43" s="31"/>
      <c r="CK43"/>
      <c r="CL43"/>
      <c r="CM43" s="23"/>
      <c r="CT43" s="31"/>
      <c r="CU43" s="12"/>
      <c r="CV43" s="365"/>
      <c r="CW43" s="365"/>
      <c r="CX43" s="365"/>
      <c r="CY43" s="365"/>
      <c r="CZ43" s="163"/>
      <c r="DA43" s="5"/>
      <c r="DO43" s="25"/>
      <c r="EL43" s="2">
        <f t="shared" si="75"/>
        <v>40678</v>
      </c>
      <c r="EV43" s="129">
        <f>EL14</f>
        <v>895.79585221562752</v>
      </c>
      <c r="EW43" s="13">
        <f t="shared" si="76"/>
        <v>830.91243491138482</v>
      </c>
      <c r="EX43" s="13">
        <f t="shared" si="76"/>
        <v>770.72859042907919</v>
      </c>
      <c r="EY43" s="13">
        <f t="shared" si="76"/>
        <v>714.9039238631043</v>
      </c>
      <c r="EZ43" s="13">
        <f t="shared" si="76"/>
        <v>663.12269546187599</v>
      </c>
      <c r="FA43" s="131">
        <f t="shared" si="76"/>
        <v>615.09203482960231</v>
      </c>
      <c r="FB43" s="131">
        <f t="shared" si="76"/>
        <v>570.54028447526116</v>
      </c>
      <c r="FC43" s="131">
        <f t="shared" si="76"/>
        <v>529.21546334003347</v>
      </c>
      <c r="FD43" s="131">
        <f t="shared" si="76"/>
        <v>490.88384161302844</v>
      </c>
      <c r="FE43" s="131">
        <f t="shared" si="77"/>
        <v>455.32861877457617</v>
      </c>
      <c r="FF43" s="131">
        <f t="shared" si="77"/>
        <v>422.34869739020712</v>
      </c>
      <c r="FG43" s="131">
        <f t="shared" si="77"/>
        <v>391.7575457199984</v>
      </c>
      <c r="FH43" s="131">
        <f t="shared" si="77"/>
        <v>363.38214271029784</v>
      </c>
      <c r="FI43" s="131">
        <f t="shared" si="77"/>
        <v>337.0619994007854</v>
      </c>
      <c r="FJ43" s="131">
        <f t="shared" si="77"/>
        <v>312.64825121203035</v>
      </c>
    </row>
    <row r="44" spans="2:166" ht="16.19" customHeight="1">
      <c r="B44" s="444" t="s">
        <v>168</v>
      </c>
      <c r="C44" s="444"/>
      <c r="D44" s="444"/>
      <c r="E44" s="444"/>
      <c r="F44" s="444"/>
      <c r="G44" s="444"/>
      <c r="H44" s="444"/>
      <c r="I44" s="444"/>
      <c r="J44" s="444"/>
      <c r="K44" s="444"/>
      <c r="L44" s="444"/>
      <c r="M44" s="444"/>
      <c r="AG44" s="90">
        <v>0.7</v>
      </c>
      <c r="AH44" s="187">
        <v>0.7</v>
      </c>
      <c r="AI44" s="163" t="s">
        <v>169</v>
      </c>
      <c r="AS44" s="411"/>
      <c r="AT44" s="385"/>
      <c r="AU44" s="385"/>
      <c r="AV44" s="385"/>
      <c r="AW44" s="385"/>
      <c r="AX44" s="385"/>
      <c r="BB44" s="374"/>
      <c r="BO44" s="12">
        <v>4500</v>
      </c>
      <c r="BP44" s="50">
        <v>4500</v>
      </c>
      <c r="BQ44" s="338"/>
      <c r="BR44" s="18" t="s">
        <v>170</v>
      </c>
      <c r="CG44" s="31"/>
      <c r="CH44" s="31"/>
      <c r="CK44"/>
      <c r="CL44"/>
      <c r="CM44" s="23"/>
      <c r="CT44" s="31"/>
      <c r="CU44" s="12"/>
      <c r="CV44" s="365"/>
      <c r="CW44" s="365"/>
      <c r="CX44" s="365"/>
      <c r="CY44" s="365"/>
      <c r="CZ44" s="163"/>
      <c r="DA44" s="5"/>
      <c r="DO44" s="25"/>
      <c r="EL44" s="2">
        <f t="shared" si="75"/>
        <v>40695</v>
      </c>
      <c r="EW44" s="129">
        <f>EL15</f>
        <v>1347.2019670262357</v>
      </c>
      <c r="EX44" s="13">
        <f t="shared" si="76"/>
        <v>1249.6227393445483</v>
      </c>
      <c r="EY44" s="13">
        <f t="shared" si="76"/>
        <v>1159.1112757457568</v>
      </c>
      <c r="EZ44" s="13">
        <f t="shared" si="76"/>
        <v>1075.155650789188</v>
      </c>
      <c r="FA44" s="13">
        <f t="shared" si="76"/>
        <v>997.28101832172536</v>
      </c>
      <c r="FB44" s="131">
        <f t="shared" si="76"/>
        <v>925.04692578677475</v>
      </c>
      <c r="FC44" s="131">
        <f t="shared" si="76"/>
        <v>858.04482306060288</v>
      </c>
      <c r="FD44" s="131">
        <f t="shared" si="76"/>
        <v>795.89575172622801</v>
      </c>
      <c r="FE44" s="131">
        <f t="shared" si="77"/>
        <v>738.2482017155852</v>
      </c>
      <c r="FF44" s="131">
        <f t="shared" si="77"/>
        <v>684.7761231973102</v>
      </c>
      <c r="FG44" s="131">
        <f t="shared" si="77"/>
        <v>635.17708246554128</v>
      </c>
      <c r="FH44" s="131">
        <f t="shared" si="77"/>
        <v>589.17055139959609</v>
      </c>
      <c r="FI44" s="131">
        <f t="shared" si="77"/>
        <v>546.49632081984896</v>
      </c>
      <c r="FJ44" s="131">
        <f t="shared" si="77"/>
        <v>506.91302876587736</v>
      </c>
    </row>
    <row r="45" spans="2:166" ht="32.81" customHeight="1">
      <c r="AG45" s="97">
        <v>5.0000000000000001E-3</v>
      </c>
      <c r="AH45" s="189">
        <v>2.5000000000000001E-2</v>
      </c>
      <c r="AI45" s="163" t="s">
        <v>171</v>
      </c>
      <c r="BB45" s="374"/>
      <c r="BD45" s="440" t="s">
        <v>14</v>
      </c>
      <c r="BE45" s="441"/>
      <c r="BK45" s="163"/>
      <c r="BL45" s="163"/>
      <c r="BM45" s="5"/>
      <c r="BO45" s="12">
        <v>2000</v>
      </c>
      <c r="BP45" s="50">
        <v>1000</v>
      </c>
      <c r="BQ45" s="338"/>
      <c r="BR45" s="352" t="s">
        <v>172</v>
      </c>
      <c r="CG45" s="31"/>
      <c r="CH45" s="31"/>
      <c r="CK45"/>
      <c r="CL45"/>
      <c r="CM45" s="23"/>
      <c r="CT45" s="31"/>
      <c r="CU45" s="15"/>
      <c r="CV45" s="163"/>
      <c r="CW45" s="163"/>
      <c r="CX45" s="163"/>
      <c r="CY45" s="163"/>
      <c r="CZ45" s="163"/>
      <c r="DO45" s="25"/>
      <c r="EL45" s="2">
        <f t="shared" si="75"/>
        <v>40709</v>
      </c>
      <c r="EX45" s="129">
        <f>EL16</f>
        <v>1989.8665050383838</v>
      </c>
      <c r="EY45" s="13">
        <f t="shared" si="76"/>
        <v>1845.7384221645837</v>
      </c>
      <c r="EZ45" s="13">
        <f t="shared" si="76"/>
        <v>1712.0496849555702</v>
      </c>
      <c r="FA45" s="13">
        <f t="shared" si="76"/>
        <v>1588.0441608399813</v>
      </c>
      <c r="FB45" s="13">
        <f t="shared" si="76"/>
        <v>1473.0204847083082</v>
      </c>
      <c r="FC45" s="131">
        <f t="shared" si="76"/>
        <v>1366.3280920491588</v>
      </c>
      <c r="FD45" s="131">
        <f t="shared" si="76"/>
        <v>1267.3635394095515</v>
      </c>
      <c r="FE45" s="131">
        <f t="shared" si="77"/>
        <v>1175.567091368064</v>
      </c>
      <c r="FF45" s="131">
        <f>FE45*(1-FE$33)*EXP($BW$39*15)</f>
        <v>1090.4195547170361</v>
      </c>
      <c r="FG45" s="131">
        <f t="shared" si="77"/>
        <v>1011.4393419482215</v>
      </c>
      <c r="FH45" s="131">
        <f t="shared" si="77"/>
        <v>938.17974743319985</v>
      </c>
      <c r="FI45" s="131">
        <f t="shared" si="77"/>
        <v>870.22642089285239</v>
      </c>
      <c r="FJ45" s="131">
        <f t="shared" si="77"/>
        <v>807.19502386604722</v>
      </c>
    </row>
    <row r="46" spans="2:166" ht="16.44">
      <c r="B46" s="467" t="s">
        <v>173</v>
      </c>
      <c r="C46" s="467"/>
      <c r="D46" s="467"/>
      <c r="E46" s="467"/>
      <c r="F46" s="467"/>
      <c r="G46" s="467"/>
      <c r="H46" s="467"/>
      <c r="AG46" s="97">
        <v>5.0000000000000001E-3</v>
      </c>
      <c r="AH46" s="189">
        <v>5.0000000000000001E-3</v>
      </c>
      <c r="AI46" s="163" t="s">
        <v>174</v>
      </c>
      <c r="BA46" s="438" t="s">
        <v>14</v>
      </c>
      <c r="BB46" s="439"/>
      <c r="BK46" s="163"/>
      <c r="BL46" s="163"/>
      <c r="BO46" s="12"/>
      <c r="BP46" s="50"/>
      <c r="BQ46" s="338"/>
      <c r="BZ46" s="376"/>
      <c r="CG46" s="31"/>
      <c r="CH46" s="31"/>
      <c r="CK46"/>
      <c r="CL46"/>
      <c r="CM46" s="23"/>
      <c r="CO46" s="12"/>
      <c r="CT46" s="31"/>
      <c r="CU46" s="15"/>
      <c r="CV46" s="163"/>
      <c r="CW46" s="163"/>
      <c r="CX46" s="163"/>
      <c r="CY46" s="163"/>
      <c r="CZ46" s="163"/>
      <c r="DO46" s="25"/>
      <c r="EL46" s="2">
        <f t="shared" si="75"/>
        <v>40725</v>
      </c>
      <c r="EY46" s="129">
        <f>EL17</f>
        <v>2909.4259860347024</v>
      </c>
      <c r="EZ46" s="13">
        <f t="shared" si="76"/>
        <v>2698.6932617194557</v>
      </c>
      <c r="FA46" s="13">
        <f t="shared" si="76"/>
        <v>2503.2241259300854</v>
      </c>
      <c r="FB46" s="13">
        <f t="shared" si="76"/>
        <v>2321.9130212101295</v>
      </c>
      <c r="FC46" s="13">
        <f t="shared" si="76"/>
        <v>2153.734466769728</v>
      </c>
      <c r="FD46" s="131">
        <f t="shared" si="76"/>
        <v>1997.7372584500877</v>
      </c>
      <c r="FE46" s="131">
        <f t="shared" si="77"/>
        <v>1853.0390887905012</v>
      </c>
      <c r="FF46" s="131">
        <f t="shared" si="77"/>
        <v>1718.821556769459</v>
      </c>
      <c r="FG46" s="131">
        <f t="shared" si="77"/>
        <v>1594.3255389953599</v>
      </c>
      <c r="FH46" s="131">
        <f t="shared" si="77"/>
        <v>1478.8468961666508</v>
      </c>
      <c r="FI46" s="131">
        <f t="shared" si="77"/>
        <v>1371.7324905174851</v>
      </c>
      <c r="FJ46" s="131">
        <f t="shared" si="77"/>
        <v>1272.3764917239002</v>
      </c>
    </row>
    <row r="47" spans="2:166" ht="16.44">
      <c r="B47" s="294">
        <v>0</v>
      </c>
      <c r="C47" s="466" t="s">
        <v>175</v>
      </c>
      <c r="D47" s="466"/>
      <c r="E47" s="466"/>
      <c r="F47" s="466"/>
      <c r="G47" s="466"/>
      <c r="H47" s="466"/>
      <c r="AG47" s="90">
        <v>0.6</v>
      </c>
      <c r="AH47" s="187">
        <v>0.6</v>
      </c>
      <c r="AI47" s="163" t="s">
        <v>176</v>
      </c>
      <c r="BB47" s="374"/>
      <c r="BE47" s="366" t="s">
        <v>14</v>
      </c>
      <c r="BK47" s="163"/>
      <c r="BL47" s="163"/>
      <c r="BO47" s="135">
        <v>0.95</v>
      </c>
      <c r="BP47" s="136">
        <v>0.95</v>
      </c>
      <c r="BQ47" s="337"/>
      <c r="BR47" t="s">
        <v>177</v>
      </c>
      <c r="CG47" s="31"/>
      <c r="CH47" s="31"/>
      <c r="CK47"/>
      <c r="CL47"/>
      <c r="CM47" s="23"/>
      <c r="CO47" s="12"/>
      <c r="CR47" s="374"/>
      <c r="DA47" s="16"/>
      <c r="DO47" s="25"/>
      <c r="EL47" s="2">
        <f t="shared" si="75"/>
        <v>40739</v>
      </c>
      <c r="EZ47" s="129">
        <f>EL18</f>
        <v>4127.5425427729224</v>
      </c>
      <c r="FA47" s="13">
        <f t="shared" si="76"/>
        <v>3828.5803801536586</v>
      </c>
      <c r="FB47" s="13">
        <f t="shared" si="76"/>
        <v>3551.2723552572106</v>
      </c>
      <c r="FC47" s="13">
        <f t="shared" si="76"/>
        <v>3294.0500365589651</v>
      </c>
      <c r="FD47" s="13">
        <f t="shared" si="76"/>
        <v>3055.4585956469746</v>
      </c>
      <c r="FE47" s="131">
        <f t="shared" si="77"/>
        <v>2834.1485788313603</v>
      </c>
      <c r="FF47" s="131">
        <f t="shared" si="77"/>
        <v>2628.8682747445341</v>
      </c>
      <c r="FG47" s="131">
        <f t="shared" si="77"/>
        <v>2438.4566347640039</v>
      </c>
      <c r="FH47" s="131">
        <f t="shared" si="77"/>
        <v>2261.836706216257</v>
      </c>
      <c r="FI47" s="131">
        <f t="shared" si="77"/>
        <v>2098.0095412204564</v>
      </c>
      <c r="FJ47" s="131">
        <f t="shared" si="77"/>
        <v>1946.0485467208719</v>
      </c>
    </row>
    <row r="48" spans="2:166" ht="16.44">
      <c r="B48" s="351">
        <v>1</v>
      </c>
      <c r="C48" s="466" t="s">
        <v>178</v>
      </c>
      <c r="D48" s="466"/>
      <c r="E48" s="466"/>
      <c r="F48" s="466"/>
      <c r="G48" s="466"/>
      <c r="H48" s="466"/>
      <c r="AG48" s="8">
        <v>4.5</v>
      </c>
      <c r="AH48" s="188">
        <v>4.5</v>
      </c>
      <c r="AI48" t="s">
        <v>179</v>
      </c>
      <c r="BB48" s="374"/>
      <c r="BE48" s="366" t="s">
        <v>14</v>
      </c>
      <c r="CG48" s="31"/>
      <c r="CH48" s="31"/>
      <c r="CK48"/>
      <c r="CL48"/>
      <c r="CM48" s="23"/>
      <c r="CO48" s="12"/>
      <c r="DO48" s="25"/>
      <c r="EL48" s="2">
        <f t="shared" si="75"/>
        <v>40756</v>
      </c>
      <c r="FA48" s="129">
        <f>EL19</f>
        <v>5183.4690176477288</v>
      </c>
      <c r="FB48" s="13">
        <f t="shared" si="76"/>
        <v>4808.0250116012548</v>
      </c>
      <c r="FC48" s="13">
        <f t="shared" si="76"/>
        <v>4459.7748020637046</v>
      </c>
      <c r="FD48" s="13">
        <f t="shared" si="76"/>
        <v>4136.7487143121925</v>
      </c>
      <c r="FE48" s="13">
        <f t="shared" si="77"/>
        <v>3837.1197391951041</v>
      </c>
      <c r="FF48" s="131">
        <f t="shared" si="77"/>
        <v>3559.1931997176539</v>
      </c>
      <c r="FG48" s="131">
        <f t="shared" si="77"/>
        <v>3301.397166087309</v>
      </c>
      <c r="FH48" s="131">
        <f t="shared" si="77"/>
        <v>3062.273565007355</v>
      </c>
      <c r="FI48" s="131">
        <f t="shared" si="77"/>
        <v>2840.4699329334971</v>
      </c>
      <c r="FJ48" s="131">
        <f t="shared" si="77"/>
        <v>2634.7317666505887</v>
      </c>
    </row>
    <row r="49" spans="2:166" ht="16.19" customHeight="1">
      <c r="B49" s="351">
        <v>2</v>
      </c>
      <c r="C49" s="466" t="s">
        <v>180</v>
      </c>
      <c r="D49" s="466"/>
      <c r="E49" s="466"/>
      <c r="F49" s="466"/>
      <c r="G49" s="466"/>
      <c r="H49" s="466"/>
      <c r="AG49" s="8">
        <v>5</v>
      </c>
      <c r="AH49" s="238">
        <v>5</v>
      </c>
      <c r="AI49" s="352" t="s">
        <v>181</v>
      </c>
      <c r="AJ49" s="163"/>
      <c r="BB49" s="442" t="s">
        <v>14</v>
      </c>
      <c r="BC49" s="443"/>
      <c r="BI49" s="16"/>
      <c r="BJ49" s="16"/>
      <c r="BO49" s="6" t="s">
        <v>182</v>
      </c>
      <c r="BX49"/>
      <c r="BY49"/>
      <c r="BZ49"/>
      <c r="CA49"/>
      <c r="CB49"/>
      <c r="CC49"/>
      <c r="CD49"/>
      <c r="CG49" s="31"/>
      <c r="CH49" s="31"/>
      <c r="CK49"/>
      <c r="CL49"/>
      <c r="CM49" s="23"/>
      <c r="CO49" s="113"/>
      <c r="DO49" s="25"/>
      <c r="EL49" s="2">
        <f t="shared" si="75"/>
        <v>40770</v>
      </c>
      <c r="FB49" s="129">
        <f>EL20</f>
        <v>6993.3334188192466</v>
      </c>
      <c r="FC49" s="13">
        <f t="shared" si="76"/>
        <v>6486.79906789692</v>
      </c>
      <c r="FD49" s="13">
        <f t="shared" si="76"/>
        <v>6016.9535223408366</v>
      </c>
      <c r="FE49" s="13">
        <f t="shared" si="77"/>
        <v>5581.1393741454949</v>
      </c>
      <c r="FF49" s="13">
        <f t="shared" si="77"/>
        <v>5176.891694107504</v>
      </c>
      <c r="FG49" s="131">
        <f t="shared" si="77"/>
        <v>4801.9240903874634</v>
      </c>
      <c r="FH49" s="131">
        <f t="shared" si="77"/>
        <v>4454.1157768645862</v>
      </c>
      <c r="FI49" s="131">
        <f t="shared" si="77"/>
        <v>4131.4995781437292</v>
      </c>
      <c r="FJ49" s="131">
        <f t="shared" si="77"/>
        <v>3832.2508033721356</v>
      </c>
    </row>
    <row r="50" spans="2:166" ht="16.44">
      <c r="B50" s="351">
        <v>3</v>
      </c>
      <c r="C50" s="466" t="s">
        <v>183</v>
      </c>
      <c r="D50" s="466"/>
      <c r="E50" s="466"/>
      <c r="F50" s="466"/>
      <c r="G50" s="466"/>
      <c r="H50" s="466"/>
      <c r="AG50" s="90">
        <v>0.05</v>
      </c>
      <c r="AH50" s="254">
        <v>0.1</v>
      </c>
      <c r="AI50" s="163" t="s">
        <v>184</v>
      </c>
      <c r="BB50" s="374"/>
      <c r="BO50" s="5" t="s">
        <v>185</v>
      </c>
      <c r="BP50" t="s">
        <v>186</v>
      </c>
      <c r="BX50"/>
      <c r="BY50"/>
      <c r="BZ50"/>
      <c r="CA50"/>
      <c r="CB50"/>
      <c r="CC50"/>
      <c r="CD50"/>
      <c r="CK50"/>
      <c r="CL50"/>
      <c r="CM50" s="23"/>
      <c r="CO50" s="12"/>
      <c r="DO50" s="25"/>
      <c r="DR50" s="79"/>
      <c r="DS50" s="276"/>
      <c r="DT50" s="79"/>
      <c r="EL50" s="2">
        <f t="shared" si="75"/>
        <v>40787</v>
      </c>
      <c r="FC50" s="129">
        <f>EL21</f>
        <v>8152.72934229563</v>
      </c>
      <c r="FD50" s="13">
        <f t="shared" ref="FD50:FJ51" si="78">FC50*(1-FC$33)*EXP($BW$39*15)</f>
        <v>7562.2187490880815</v>
      </c>
      <c r="FE50" s="13">
        <f t="shared" si="78"/>
        <v>7014.4794470702573</v>
      </c>
      <c r="FF50" s="13">
        <f t="shared" si="78"/>
        <v>6506.4134675163132</v>
      </c>
      <c r="FG50" s="131">
        <f t="shared" si="78"/>
        <v>6035.1472307697877</v>
      </c>
      <c r="FH50" s="131">
        <f t="shared" si="78"/>
        <v>5598.0152935119186</v>
      </c>
      <c r="FI50" s="131">
        <f t="shared" si="78"/>
        <v>5192.5452732320791</v>
      </c>
      <c r="FJ50" s="131">
        <f t="shared" si="78"/>
        <v>4816.4438646343624</v>
      </c>
    </row>
    <row r="51" spans="2:166" ht="16.44">
      <c r="B51" s="351">
        <v>4</v>
      </c>
      <c r="C51" s="465" t="s">
        <v>187</v>
      </c>
      <c r="D51" s="465"/>
      <c r="E51" s="465"/>
      <c r="F51" s="465"/>
      <c r="G51" s="465"/>
      <c r="H51" s="465"/>
      <c r="AR51" s="5"/>
      <c r="AS51" s="5"/>
      <c r="BB51" s="374"/>
      <c r="BX51"/>
      <c r="BY51"/>
      <c r="BZ51"/>
      <c r="CA51" s="14"/>
      <c r="CB51" s="14"/>
      <c r="CC51" s="14"/>
      <c r="CD51" s="14"/>
      <c r="CK51"/>
      <c r="CL51"/>
      <c r="CM51" s="23"/>
      <c r="CO51" s="12"/>
      <c r="DO51" s="25"/>
      <c r="DR51" s="79"/>
      <c r="DS51" s="276"/>
      <c r="DT51" s="79"/>
      <c r="EL51" s="2">
        <f t="shared" si="75"/>
        <v>40801</v>
      </c>
      <c r="FD51" s="129">
        <f>EL22</f>
        <v>10661.831118613274</v>
      </c>
      <c r="FE51" s="13">
        <f t="shared" si="78"/>
        <v>9889.5836964072732</v>
      </c>
      <c r="FF51" s="13">
        <f t="shared" si="78"/>
        <v>9173.2709513190421</v>
      </c>
      <c r="FG51" s="13">
        <f t="shared" si="78"/>
        <v>8508.8414770061245</v>
      </c>
      <c r="FH51" s="131">
        <f t="shared" si="78"/>
        <v>7892.5373146651882</v>
      </c>
      <c r="FI51" s="131">
        <f t="shared" si="78"/>
        <v>7320.8726983241631</v>
      </c>
      <c r="FJ51" s="131">
        <f t="shared" si="78"/>
        <v>6790.6143396347934</v>
      </c>
    </row>
    <row r="52" spans="2:166" ht="16.44">
      <c r="B52" s="351" t="s">
        <v>188</v>
      </c>
      <c r="C52" s="464" t="s">
        <v>189</v>
      </c>
      <c r="D52" s="464"/>
      <c r="E52" s="464"/>
      <c r="F52" s="464"/>
      <c r="G52" s="464"/>
      <c r="H52" s="464"/>
      <c r="I52" s="464"/>
      <c r="J52" s="464"/>
      <c r="AH52" s="331">
        <v>0.5</v>
      </c>
      <c r="AI52" s="163" t="s">
        <v>190</v>
      </c>
      <c r="BB52" s="221"/>
      <c r="BC52" s="104"/>
      <c r="BO52" s="6" t="s">
        <v>129</v>
      </c>
      <c r="CK52"/>
      <c r="CL52"/>
      <c r="CM52" s="23"/>
      <c r="CO52" s="12"/>
      <c r="DO52" s="25"/>
      <c r="DP52" s="363"/>
      <c r="DR52" s="79"/>
      <c r="DS52" s="276"/>
      <c r="DT52" s="79"/>
      <c r="EK52" s="363"/>
      <c r="EL52" s="2">
        <f t="shared" si="75"/>
        <v>40817</v>
      </c>
      <c r="FE52" s="129">
        <f>EL23</f>
        <v>0</v>
      </c>
      <c r="FF52" s="13">
        <f>FE52*(1-FE$33)*EXP($BW$39*15)</f>
        <v>0</v>
      </c>
      <c r="FG52" s="13">
        <f>FF52*(1-FF$33)*EXP($BW$39*15)</f>
        <v>0</v>
      </c>
      <c r="FH52" s="13">
        <f>FG52*(1-FG$33)*EXP($BW$39*15)</f>
        <v>0</v>
      </c>
      <c r="FI52" s="131">
        <f>FH52*(1-FH$33)*EXP($BW$39*15)</f>
        <v>0</v>
      </c>
      <c r="FJ52" s="131">
        <f>FI52*(1-FI$33)*EXP($BW$39*15)</f>
        <v>0</v>
      </c>
    </row>
    <row r="53" spans="2:166" ht="16.44">
      <c r="AH53" s="332">
        <v>60</v>
      </c>
      <c r="AI53" s="163" t="s">
        <v>191</v>
      </c>
      <c r="BB53" s="374"/>
      <c r="BP53" s="7"/>
      <c r="BQ53" s="7"/>
      <c r="BR53" s="7"/>
      <c r="BV53" t="s">
        <v>192</v>
      </c>
      <c r="BW53" t="s">
        <v>193</v>
      </c>
      <c r="BX53" t="s">
        <v>194</v>
      </c>
      <c r="CK53"/>
      <c r="CL53"/>
      <c r="CM53" s="23"/>
      <c r="CO53" s="12"/>
      <c r="DO53" s="25"/>
      <c r="DR53" s="79"/>
      <c r="DS53" s="276"/>
      <c r="DT53" s="79"/>
      <c r="EK53" s="363"/>
      <c r="EL53" s="2">
        <f t="shared" si="75"/>
        <v>40831</v>
      </c>
      <c r="FF53" s="129">
        <f>EL24</f>
        <v>0</v>
      </c>
      <c r="FG53" s="13">
        <f>FF53*(1-FF$33)*EXP($BW$39*15)</f>
        <v>0</v>
      </c>
      <c r="FH53" s="13">
        <f>FG53*(1-FG$33)*EXP($BW$39*15)</f>
        <v>0</v>
      </c>
      <c r="FI53" s="13">
        <f>FH53*(1-FH$33)*EXP($BW$39*15)</f>
        <v>0</v>
      </c>
      <c r="FJ53" s="131">
        <f>FI53*(1-FI$33)*EXP($BW$39*15)</f>
        <v>0</v>
      </c>
    </row>
    <row r="54" spans="2:166" ht="16.44">
      <c r="AK54" s="191"/>
      <c r="AL54" s="191"/>
      <c r="AM54" s="191"/>
      <c r="BB54" s="374"/>
      <c r="BD54" s="174"/>
      <c r="BE54" s="174"/>
      <c r="BF54" s="174"/>
      <c r="BG54" s="174"/>
      <c r="BL54" s="49"/>
      <c r="BM54" s="5"/>
      <c r="BO54" t="s">
        <v>195</v>
      </c>
      <c r="BP54" s="374">
        <f>BP30</f>
        <v>1.3774999999999999</v>
      </c>
      <c r="BQ54" s="374"/>
      <c r="BR54" t="s">
        <v>196</v>
      </c>
      <c r="BV54">
        <v>0</v>
      </c>
      <c r="BW54" s="163">
        <f>BV54+12</f>
        <v>12</v>
      </c>
      <c r="BX54" s="23">
        <f>$BP$58/BW54</f>
        <v>2.6536295761255119E-2</v>
      </c>
      <c r="CK54"/>
      <c r="CL54"/>
      <c r="CM54" s="23"/>
      <c r="CO54" s="12"/>
      <c r="DO54" s="25"/>
      <c r="DP54" s="363"/>
      <c r="DR54" s="79"/>
      <c r="DS54" s="276"/>
      <c r="DT54" s="79"/>
      <c r="EK54" s="363"/>
      <c r="EL54" s="2">
        <f t="shared" si="75"/>
        <v>40848</v>
      </c>
      <c r="FG54" s="129">
        <f>EL25</f>
        <v>0</v>
      </c>
      <c r="FH54" s="13">
        <f>FG54*(1-FG$33)*EXP($BW$39*15)</f>
        <v>0</v>
      </c>
      <c r="FI54" s="13">
        <f>FH54*(1-FH$33)*EXP($BW$39*15)</f>
        <v>0</v>
      </c>
      <c r="FJ54" s="13">
        <f>FI54*(1-FI$33)*EXP($BW$39*15)</f>
        <v>0</v>
      </c>
    </row>
    <row r="55" spans="2:166" ht="16.19" customHeight="1">
      <c r="BB55" s="374"/>
      <c r="BO55" t="s">
        <v>197</v>
      </c>
      <c r="BP55" s="37">
        <f>BP31</f>
        <v>0.7</v>
      </c>
      <c r="BQ55" s="37"/>
      <c r="BR55" t="s">
        <v>198</v>
      </c>
      <c r="BV55">
        <v>1</v>
      </c>
      <c r="BW55" s="163">
        <f t="shared" ref="BW55:BW69" si="79">BV55+12</f>
        <v>13</v>
      </c>
      <c r="BX55" s="23">
        <f t="shared" ref="BX55:BX69" si="80">$BP$58/BW55</f>
        <v>2.4495042241158574E-2</v>
      </c>
      <c r="CK55"/>
      <c r="CL55"/>
      <c r="CM55" s="23"/>
      <c r="CO55" s="12"/>
      <c r="DO55" s="25"/>
      <c r="DR55"/>
      <c r="DS55" s="374"/>
      <c r="DT55"/>
      <c r="EL55" s="2">
        <f t="shared" si="75"/>
        <v>40862</v>
      </c>
      <c r="FH55" s="129">
        <f>EL26</f>
        <v>0</v>
      </c>
      <c r="FI55" s="13">
        <f>FH55*(1-FH$33)*EXP($BW$39*15)</f>
        <v>0</v>
      </c>
      <c r="FJ55" s="13">
        <f>FI55*(1-FI$33)*EXP($BW$39*15)</f>
        <v>0</v>
      </c>
    </row>
    <row r="56" spans="2:166" ht="16.19" customHeight="1">
      <c r="AG56" s="403" t="s">
        <v>124</v>
      </c>
      <c r="AH56" s="403"/>
      <c r="AI56" t="s">
        <v>199</v>
      </c>
      <c r="AN56" s="6"/>
      <c r="AP56" s="6"/>
      <c r="AY56" s="353">
        <f>(LN(BA22/BA12))/(AZ22-AZ12)</f>
        <v>2.4197961912104403E-2</v>
      </c>
      <c r="BB56" s="374"/>
      <c r="BN56" s="49"/>
      <c r="BO56" t="s">
        <v>197</v>
      </c>
      <c r="BP56" s="87">
        <v>0.7</v>
      </c>
      <c r="BQ56" s="87"/>
      <c r="BR56" t="s">
        <v>200</v>
      </c>
      <c r="BV56">
        <v>2</v>
      </c>
      <c r="BW56" s="163">
        <f t="shared" si="79"/>
        <v>14</v>
      </c>
      <c r="BX56" s="23">
        <f t="shared" si="80"/>
        <v>2.2745396366790103E-2</v>
      </c>
      <c r="CK56"/>
      <c r="CL56"/>
      <c r="CM56" s="23"/>
      <c r="CO56" s="12"/>
      <c r="DO56" s="25"/>
      <c r="EL56" s="2">
        <f t="shared" si="75"/>
        <v>40878</v>
      </c>
      <c r="FI56" s="129">
        <f>EL27</f>
        <v>0</v>
      </c>
      <c r="FJ56" s="13">
        <f>FI56*(1-FI$33)*EXP($BW$39*15)</f>
        <v>0</v>
      </c>
    </row>
    <row r="57" spans="2:166" ht="16.44">
      <c r="AG57" s="6" t="s">
        <v>201</v>
      </c>
      <c r="AK57" s="191"/>
      <c r="BB57" s="374"/>
      <c r="BJ57" s="191"/>
      <c r="BK57" s="191"/>
      <c r="BL57" s="191"/>
      <c r="BM57" s="191"/>
      <c r="BN57" s="49"/>
      <c r="BO57" t="s">
        <v>202</v>
      </c>
      <c r="BP57" s="69">
        <f>(1+($BP$54*$BP$55))*$BP$56</f>
        <v>1.3749749999999998</v>
      </c>
      <c r="BQ57" s="69"/>
      <c r="BR57" s="69"/>
      <c r="BV57">
        <v>3</v>
      </c>
      <c r="BW57" s="163">
        <f t="shared" si="79"/>
        <v>15</v>
      </c>
      <c r="BX57" s="23">
        <f t="shared" si="80"/>
        <v>2.1229036609004097E-2</v>
      </c>
      <c r="CK57"/>
      <c r="CL57"/>
      <c r="CM57" s="23"/>
      <c r="DO57" s="25"/>
      <c r="EL57" s="2">
        <f t="shared" si="75"/>
        <v>40892</v>
      </c>
      <c r="ER57" s="368"/>
      <c r="FJ57" s="129">
        <f>EL28</f>
        <v>0</v>
      </c>
    </row>
    <row r="58" spans="2:166" ht="16.19" customHeight="1">
      <c r="AG58" t="s">
        <v>203</v>
      </c>
      <c r="AN58" s="352"/>
      <c r="BB58" s="374"/>
      <c r="BJ58" s="191"/>
      <c r="BK58" s="191"/>
      <c r="BL58" s="191"/>
      <c r="BM58" s="191"/>
      <c r="BO58" s="5" t="s">
        <v>204</v>
      </c>
      <c r="BP58">
        <f>LN(BP57)</f>
        <v>0.31843554913506145</v>
      </c>
      <c r="BV58">
        <v>4</v>
      </c>
      <c r="BW58" s="163">
        <f t="shared" si="79"/>
        <v>16</v>
      </c>
      <c r="BX58" s="23">
        <f t="shared" si="80"/>
        <v>1.990222182094134E-2</v>
      </c>
      <c r="CK58"/>
      <c r="CL58"/>
      <c r="CM58" s="23"/>
      <c r="DO58" s="25"/>
      <c r="EL58" s="132" t="s">
        <v>205</v>
      </c>
      <c r="EM58" s="132"/>
      <c r="EN58" s="132"/>
      <c r="EO58" s="132"/>
      <c r="EP58" s="132"/>
      <c r="EQ58" s="132"/>
      <c r="ER58" s="133">
        <f>SUM(ER34)</f>
        <v>68.664309318720015</v>
      </c>
      <c r="ES58" s="133">
        <f>SUM(ES34:ES35)</f>
        <v>74.408914049046359</v>
      </c>
      <c r="ET58" s="133">
        <f>SUM(ET34:ET36)</f>
        <v>93.589327164010868</v>
      </c>
      <c r="EU58" s="133">
        <f>SUM(EU34:EU37)</f>
        <v>124.9489120019891</v>
      </c>
      <c r="EV58" s="133">
        <f>SUM(EV34:EV38)</f>
        <v>168.50756739275889</v>
      </c>
      <c r="EW58" s="133">
        <f>SUM(EW34:EW39)</f>
        <v>248.05072430079477</v>
      </c>
      <c r="EX58" s="133">
        <f>SUM(EX34:EX40)</f>
        <v>394.50678702129744</v>
      </c>
      <c r="EY58" s="133">
        <f>SUM(EY34:EY41)</f>
        <v>615.54682410803025</v>
      </c>
      <c r="EZ58" s="133">
        <f>SUM(EZ34:EZ42)</f>
        <v>971.74272400292216</v>
      </c>
      <c r="FA58" s="133">
        <f>SUM(FA34:FA43)</f>
        <v>1516.4504312897056</v>
      </c>
      <c r="FB58" s="133">
        <f>SUM(FB34:FB44)</f>
        <v>2331.6592886022754</v>
      </c>
      <c r="FC58" s="133">
        <f>SUM(FC34:FC45)</f>
        <v>3529.1028940136475</v>
      </c>
      <c r="FD58" s="133">
        <f>SUM(FD34:FD46)</f>
        <v>5271.2235907041031</v>
      </c>
      <c r="FE58" s="133">
        <f>SUM(FE34:FE47)</f>
        <v>7723.5720092716092</v>
      </c>
      <c r="FF58" s="133">
        <f>SUM(FF34:FF48)</f>
        <v>10723.33892395182</v>
      </c>
      <c r="FG58" s="133">
        <f>SUM(FG34:FG49)</f>
        <v>14748.56051836689</v>
      </c>
      <c r="FH58" s="133">
        <f>SUM(FH34:FH50)</f>
        <v>19278.322365088199</v>
      </c>
      <c r="FI58" s="133">
        <f>SUM(FI34:FI51)</f>
        <v>25202.846295056333</v>
      </c>
      <c r="FJ58" s="133">
        <f>SUM(FJ34:FJ52)</f>
        <v>23377.378149192216</v>
      </c>
    </row>
    <row r="59" spans="2:166" ht="16.44">
      <c r="AG59" t="s">
        <v>206</v>
      </c>
      <c r="BB59" s="374"/>
      <c r="BO59" s="5" t="s">
        <v>207</v>
      </c>
      <c r="BP59" s="6">
        <f>BP58/12</f>
        <v>2.6536295761255119E-2</v>
      </c>
      <c r="BQ59" s="6"/>
      <c r="BV59">
        <v>5</v>
      </c>
      <c r="BW59" s="163">
        <f t="shared" si="79"/>
        <v>17</v>
      </c>
      <c r="BX59" s="66">
        <f t="shared" si="80"/>
        <v>1.8731502890297732E-2</v>
      </c>
      <c r="BY59" s="413" t="s">
        <v>208</v>
      </c>
      <c r="CK59"/>
      <c r="CL59"/>
      <c r="CM59" s="23"/>
      <c r="EL59" t="s">
        <v>209</v>
      </c>
      <c r="EM59" s="13">
        <f t="shared" ref="EM59:FJ59" si="81">SUM(EM34:EM57)</f>
        <v>100</v>
      </c>
      <c r="EN59" s="13">
        <f t="shared" si="81"/>
        <v>108.36621643372476</v>
      </c>
      <c r="EO59" s="13">
        <f t="shared" si="81"/>
        <v>136.29981586153599</v>
      </c>
      <c r="EP59" s="13">
        <f t="shared" si="81"/>
        <v>181.97068206426155</v>
      </c>
      <c r="EQ59" s="13">
        <f t="shared" si="81"/>
        <v>245.40779491510668</v>
      </c>
      <c r="ER59" s="13">
        <f t="shared" si="81"/>
        <v>361.25132075444685</v>
      </c>
      <c r="ES59" s="13">
        <f t="shared" si="81"/>
        <v>574.5441713978513</v>
      </c>
      <c r="ET59" s="13">
        <f t="shared" si="81"/>
        <v>896.45818943701693</v>
      </c>
      <c r="EU59" s="13">
        <f t="shared" si="81"/>
        <v>1415.2078913258581</v>
      </c>
      <c r="EV59" s="13">
        <f t="shared" si="81"/>
        <v>2208.4987766363138</v>
      </c>
      <c r="EW59" s="13">
        <f t="shared" si="81"/>
        <v>3395.7368999073201</v>
      </c>
      <c r="EX59" s="13">
        <f t="shared" si="81"/>
        <v>5139.6466796637615</v>
      </c>
      <c r="EY59" s="13">
        <f t="shared" si="81"/>
        <v>7676.8027567809604</v>
      </c>
      <c r="EZ59" s="13">
        <f t="shared" si="81"/>
        <v>11248.306559701934</v>
      </c>
      <c r="FA59" s="13">
        <f t="shared" si="81"/>
        <v>15617.049134182884</v>
      </c>
      <c r="FB59" s="13">
        <f t="shared" si="81"/>
        <v>21479.223580198424</v>
      </c>
      <c r="FC59" s="13">
        <f t="shared" si="81"/>
        <v>28076.190609598591</v>
      </c>
      <c r="FD59" s="13">
        <f t="shared" si="81"/>
        <v>36704.434290705467</v>
      </c>
      <c r="FE59" s="13">
        <f t="shared" si="81"/>
        <v>34045.894266089745</v>
      </c>
      <c r="FF59" s="13">
        <f t="shared" si="81"/>
        <v>31579.915036894679</v>
      </c>
      <c r="FG59" s="13">
        <f t="shared" si="81"/>
        <v>29292.549226142804</v>
      </c>
      <c r="FH59" s="13">
        <f t="shared" si="81"/>
        <v>27170.859679753386</v>
      </c>
      <c r="FI59" s="13">
        <f t="shared" si="81"/>
        <v>25202.846295056333</v>
      </c>
      <c r="FJ59" s="13">
        <f t="shared" si="81"/>
        <v>23377.378149192216</v>
      </c>
    </row>
    <row r="60" spans="2:166" ht="16.44">
      <c r="AN60" s="6"/>
      <c r="AO60" s="6"/>
      <c r="AP60" s="6"/>
      <c r="BB60" s="374"/>
      <c r="BO60" s="5" t="s">
        <v>210</v>
      </c>
      <c r="BP60">
        <f>BP58/17</f>
        <v>1.8731502890297732E-2</v>
      </c>
      <c r="BV60">
        <v>6</v>
      </c>
      <c r="BW60" s="163">
        <f t="shared" si="79"/>
        <v>18</v>
      </c>
      <c r="BX60" s="66">
        <f t="shared" si="80"/>
        <v>1.7690863840836749E-2</v>
      </c>
      <c r="BY60" s="413"/>
      <c r="CK60"/>
      <c r="CL60"/>
      <c r="CM60" s="23"/>
      <c r="EL60" t="s">
        <v>211</v>
      </c>
      <c r="EM60" s="31">
        <f t="shared" ref="EM60:FJ60" si="82">IF(EM59=0,0,IF(EM58/EM59=1,0.99,EM58/EM59))</f>
        <v>0</v>
      </c>
      <c r="EN60" s="31">
        <f t="shared" si="82"/>
        <v>0</v>
      </c>
      <c r="EO60" s="31">
        <f t="shared" si="82"/>
        <v>0</v>
      </c>
      <c r="EP60" s="31">
        <f t="shared" si="82"/>
        <v>0</v>
      </c>
      <c r="EQ60" s="31">
        <f t="shared" si="82"/>
        <v>0</v>
      </c>
      <c r="ER60" s="31">
        <f t="shared" si="82"/>
        <v>0.19007351772533218</v>
      </c>
      <c r="ES60" s="31">
        <f t="shared" si="82"/>
        <v>0.12950947508180505</v>
      </c>
      <c r="ET60" s="31">
        <f t="shared" si="82"/>
        <v>0.10439898733345916</v>
      </c>
      <c r="EU60" s="31">
        <f t="shared" si="82"/>
        <v>8.8290146463873162E-2</v>
      </c>
      <c r="EV60" s="31">
        <f t="shared" si="82"/>
        <v>7.629959734431313E-2</v>
      </c>
      <c r="EW60" s="31">
        <f t="shared" si="82"/>
        <v>7.3047686441068155E-2</v>
      </c>
      <c r="EX60" s="31">
        <f t="shared" si="82"/>
        <v>7.6757569461390743E-2</v>
      </c>
      <c r="EY60" s="31">
        <f t="shared" si="82"/>
        <v>8.0182706734820627E-2</v>
      </c>
      <c r="EZ60" s="31">
        <f t="shared" si="82"/>
        <v>8.6390135159036069E-2</v>
      </c>
      <c r="FA60" s="31">
        <f t="shared" si="82"/>
        <v>9.7102238602199895E-2</v>
      </c>
      <c r="FB60" s="31">
        <f t="shared" si="82"/>
        <v>0.10855417002837194</v>
      </c>
      <c r="FC60" s="31">
        <f t="shared" si="82"/>
        <v>0.12569735485437009</v>
      </c>
      <c r="FD60" s="31">
        <f t="shared" si="82"/>
        <v>0.1436127185330007</v>
      </c>
      <c r="FE60" s="31">
        <f t="shared" si="82"/>
        <v>0.226857663038812</v>
      </c>
      <c r="FF60" s="31">
        <f t="shared" si="82"/>
        <v>0.33956199411631693</v>
      </c>
      <c r="FG60" s="31">
        <f t="shared" si="82"/>
        <v>0.50349187448677912</v>
      </c>
      <c r="FH60" s="31">
        <f t="shared" si="82"/>
        <v>0.70952198761136798</v>
      </c>
      <c r="FI60" s="31">
        <f t="shared" si="82"/>
        <v>0.99</v>
      </c>
      <c r="FJ60" s="31">
        <f t="shared" si="82"/>
        <v>0.99</v>
      </c>
    </row>
    <row r="61" spans="2:166" ht="16.19" customHeight="1">
      <c r="AG61" s="354" t="s">
        <v>212</v>
      </c>
      <c r="AH61" s="140" t="s">
        <v>213</v>
      </c>
      <c r="AW61" s="44" t="s">
        <v>214</v>
      </c>
      <c r="AX61" s="44"/>
      <c r="AY61" s="5"/>
      <c r="BA61" s="5"/>
      <c r="BB61" s="374"/>
      <c r="BV61">
        <v>7</v>
      </c>
      <c r="BW61" s="163">
        <f t="shared" si="79"/>
        <v>19</v>
      </c>
      <c r="BX61" s="66">
        <f t="shared" si="80"/>
        <v>1.6759765743950602E-2</v>
      </c>
      <c r="BY61" s="413"/>
      <c r="EL61" s="16"/>
    </row>
    <row r="62" spans="2:166" ht="16.44">
      <c r="AG62" s="23">
        <v>2.4E-2</v>
      </c>
      <c r="AH62" s="14">
        <f>(LN(2))/AG62</f>
        <v>28.881132523331054</v>
      </c>
      <c r="AN62" s="191"/>
      <c r="AX62" s="5" t="s">
        <v>215</v>
      </c>
      <c r="AY62" s="5" t="s">
        <v>216</v>
      </c>
      <c r="AZ62" s="55" t="s">
        <v>217</v>
      </c>
      <c r="BA62" s="5"/>
      <c r="BB62" s="374"/>
      <c r="BO62" s="6" t="s">
        <v>137</v>
      </c>
      <c r="BS62" s="352"/>
      <c r="BV62">
        <v>8</v>
      </c>
      <c r="BW62" s="163">
        <f t="shared" si="79"/>
        <v>20</v>
      </c>
      <c r="BX62" s="66">
        <f t="shared" si="80"/>
        <v>1.5921777456753071E-2</v>
      </c>
      <c r="BY62" s="413"/>
    </row>
    <row r="63" spans="2:166">
      <c r="AG63" s="23">
        <f t="shared" ref="AG63:AG84" si="83">AG62-0.001</f>
        <v>2.3E-2</v>
      </c>
      <c r="AH63" s="14">
        <f>(LN(2))/AG63</f>
        <v>30.136833937388925</v>
      </c>
      <c r="BB63" s="374"/>
      <c r="BN63" s="414" t="s">
        <v>218</v>
      </c>
      <c r="BO63" s="69" t="s">
        <v>195</v>
      </c>
      <c r="BP63" s="374">
        <f>BP32</f>
        <v>3.5</v>
      </c>
      <c r="BQ63" s="374"/>
      <c r="BR63" t="s">
        <v>196</v>
      </c>
      <c r="BS63" s="352"/>
      <c r="BV63">
        <v>9</v>
      </c>
      <c r="BW63" s="163">
        <f t="shared" si="79"/>
        <v>21</v>
      </c>
      <c r="BX63" s="66">
        <f t="shared" si="80"/>
        <v>1.516359757786007E-2</v>
      </c>
      <c r="BY63" s="413"/>
    </row>
    <row r="64" spans="2:166" ht="16.44">
      <c r="AG64" s="23">
        <f t="shared" si="83"/>
        <v>2.1999999999999999E-2</v>
      </c>
      <c r="AH64" s="14">
        <f>(LN(2))/AG64</f>
        <v>31.506690025452059</v>
      </c>
      <c r="AX64" s="5"/>
      <c r="AZ64" s="30"/>
      <c r="BB64" s="374"/>
      <c r="BN64" s="414"/>
      <c r="BO64" s="69" t="s">
        <v>197</v>
      </c>
      <c r="BP64" s="38">
        <f>BP33</f>
        <v>0.7</v>
      </c>
      <c r="BQ64" s="38"/>
      <c r="BR64" t="s">
        <v>219</v>
      </c>
      <c r="BS64" s="40"/>
      <c r="BV64">
        <v>10</v>
      </c>
      <c r="BW64" s="163">
        <f t="shared" si="79"/>
        <v>22</v>
      </c>
      <c r="BX64" s="66">
        <f t="shared" si="80"/>
        <v>1.4474343142502793E-2</v>
      </c>
      <c r="BY64" s="413"/>
    </row>
    <row r="65" spans="33:151" ht="16.44">
      <c r="AG65" s="23">
        <f t="shared" si="83"/>
        <v>2.0999999999999998E-2</v>
      </c>
      <c r="AH65" s="14">
        <f t="shared" ref="AH65:AH81" si="84">(LN(2))/AG65</f>
        <v>33.007008598092639</v>
      </c>
      <c r="AU65" s="56"/>
      <c r="AV65" s="56"/>
      <c r="AX65" s="83" t="s">
        <v>220</v>
      </c>
      <c r="AY65">
        <v>1993</v>
      </c>
      <c r="AZ65" s="28">
        <v>3.0571428571428572E-2</v>
      </c>
      <c r="BB65" s="374"/>
      <c r="BN65" s="414"/>
      <c r="BO65" s="69" t="s">
        <v>221</v>
      </c>
      <c r="BP65" s="374">
        <v>0.7</v>
      </c>
      <c r="BQ65" s="374"/>
      <c r="BR65" t="s">
        <v>200</v>
      </c>
      <c r="BV65">
        <v>11</v>
      </c>
      <c r="BW65" s="163">
        <f t="shared" si="79"/>
        <v>23</v>
      </c>
      <c r="BX65" s="66">
        <f t="shared" si="80"/>
        <v>1.3845023875437455E-2</v>
      </c>
      <c r="BY65" s="413"/>
    </row>
    <row r="66" spans="33:151" ht="16.44">
      <c r="AG66" s="23">
        <f t="shared" si="83"/>
        <v>1.9999999999999997E-2</v>
      </c>
      <c r="AH66" s="14">
        <f t="shared" si="84"/>
        <v>34.657359027997266</v>
      </c>
      <c r="AU66" s="359"/>
      <c r="AV66" s="359"/>
      <c r="AX66" s="83" t="s">
        <v>222</v>
      </c>
      <c r="AY66">
        <v>2007</v>
      </c>
      <c r="AZ66" s="28">
        <v>2.7285714285714285E-2</v>
      </c>
      <c r="BB66" s="374"/>
      <c r="BO66" t="s">
        <v>202</v>
      </c>
      <c r="BP66">
        <f>(1+(BP63*BP64))*BP65</f>
        <v>2.4149999999999996</v>
      </c>
      <c r="BV66">
        <v>12</v>
      </c>
      <c r="BW66" s="163">
        <f t="shared" si="79"/>
        <v>24</v>
      </c>
      <c r="BX66" s="66">
        <f t="shared" si="80"/>
        <v>1.326814788062756E-2</v>
      </c>
      <c r="BY66" s="413"/>
    </row>
    <row r="67" spans="33:151" ht="16.44">
      <c r="AG67" s="23">
        <f>AG66-0.001</f>
        <v>1.8999999999999996E-2</v>
      </c>
      <c r="AH67" s="14">
        <f t="shared" si="84"/>
        <v>36.481430555786602</v>
      </c>
      <c r="AR67" s="213"/>
      <c r="AS67" s="213"/>
      <c r="AT67" s="213"/>
      <c r="AU67" s="214"/>
      <c r="AV67" s="214"/>
      <c r="AW67" s="213"/>
      <c r="AX67" s="215" t="s">
        <v>223</v>
      </c>
      <c r="AZ67" s="30">
        <v>2.3E-2</v>
      </c>
      <c r="BB67" s="374"/>
      <c r="BO67" s="5" t="s">
        <v>204</v>
      </c>
      <c r="BP67">
        <f>LN(BP66)</f>
        <v>0.88169928710453582</v>
      </c>
      <c r="BV67">
        <v>13</v>
      </c>
      <c r="BW67" s="163">
        <f t="shared" si="79"/>
        <v>25</v>
      </c>
      <c r="BX67" s="66">
        <f t="shared" si="80"/>
        <v>1.2737421965402458E-2</v>
      </c>
      <c r="BY67" s="413"/>
    </row>
    <row r="68" spans="33:151" ht="16.44">
      <c r="AG68" s="23">
        <f t="shared" si="83"/>
        <v>1.7999999999999995E-2</v>
      </c>
      <c r="AH68" s="14">
        <f t="shared" si="84"/>
        <v>38.508176697774751</v>
      </c>
      <c r="AU68" s="359"/>
      <c r="AV68" s="359"/>
      <c r="AX68" s="83" t="s">
        <v>224</v>
      </c>
      <c r="AY68">
        <v>1999</v>
      </c>
      <c r="AZ68" s="28">
        <v>2.2936022002005126E-2</v>
      </c>
      <c r="BB68" s="374"/>
      <c r="BO68" s="5" t="s">
        <v>207</v>
      </c>
      <c r="BP68" s="6">
        <f>BP67/15</f>
        <v>5.8779952473635724E-2</v>
      </c>
      <c r="BQ68" s="6"/>
      <c r="BV68">
        <v>14</v>
      </c>
      <c r="BW68" s="163">
        <f t="shared" si="79"/>
        <v>26</v>
      </c>
      <c r="BX68" s="66">
        <f t="shared" si="80"/>
        <v>1.2247521120579287E-2</v>
      </c>
      <c r="BY68" s="413"/>
      <c r="CG68" s="26"/>
      <c r="CH68" s="26"/>
    </row>
    <row r="69" spans="33:151" ht="16" customHeight="1">
      <c r="AG69" s="23">
        <f t="shared" si="83"/>
        <v>1.6999999999999994E-2</v>
      </c>
      <c r="AH69" s="14">
        <f t="shared" si="84"/>
        <v>40.773363562349736</v>
      </c>
      <c r="AV69" s="49"/>
      <c r="AW69" s="49"/>
      <c r="AX69" s="83" t="s">
        <v>225</v>
      </c>
      <c r="AY69">
        <v>2002</v>
      </c>
      <c r="AZ69" s="28">
        <v>2.2714285714285715E-2</v>
      </c>
      <c r="BB69" s="374"/>
      <c r="BO69" s="5"/>
      <c r="BV69">
        <v>15</v>
      </c>
      <c r="BW69" s="163">
        <f t="shared" si="79"/>
        <v>27</v>
      </c>
      <c r="BX69" s="66">
        <f t="shared" si="80"/>
        <v>1.1793909227224498E-2</v>
      </c>
      <c r="BY69" s="413"/>
      <c r="BZ69"/>
      <c r="CA69"/>
      <c r="CB69"/>
      <c r="CC69"/>
      <c r="CD69"/>
      <c r="CG69" s="26"/>
      <c r="CH69" s="26"/>
    </row>
    <row r="70" spans="33:151" ht="16" customHeight="1">
      <c r="AG70" s="23">
        <f t="shared" si="83"/>
        <v>1.5999999999999993E-2</v>
      </c>
      <c r="AH70" s="14">
        <f t="shared" si="84"/>
        <v>43.321698784996599</v>
      </c>
      <c r="AU70" s="49"/>
      <c r="AV70" s="49"/>
      <c r="AW70" s="49"/>
      <c r="AX70" s="83" t="s">
        <v>226</v>
      </c>
      <c r="AY70">
        <v>1994</v>
      </c>
      <c r="AZ70" s="216">
        <v>2.1428571428571429E-2</v>
      </c>
      <c r="BA70" s="415" t="s">
        <v>227</v>
      </c>
      <c r="BB70" s="374"/>
      <c r="CG70" s="26"/>
      <c r="CH70" s="26"/>
    </row>
    <row r="71" spans="33:151" ht="16" customHeight="1">
      <c r="AG71" s="23">
        <f t="shared" si="83"/>
        <v>1.4999999999999993E-2</v>
      </c>
      <c r="AH71" s="14">
        <f t="shared" si="84"/>
        <v>46.209812037329712</v>
      </c>
      <c r="AU71" s="49"/>
      <c r="AV71" s="49"/>
      <c r="AW71" s="49"/>
      <c r="AX71" s="83" t="s">
        <v>228</v>
      </c>
      <c r="AY71" s="16">
        <v>1997</v>
      </c>
      <c r="AZ71" s="217">
        <v>2.1428571428571429E-2</v>
      </c>
      <c r="BA71" s="415"/>
      <c r="BB71" s="374"/>
      <c r="BO71" s="6" t="s">
        <v>229</v>
      </c>
      <c r="BP71" s="6"/>
      <c r="BQ71" s="6"/>
      <c r="BR71" s="6"/>
      <c r="BS71" s="6"/>
      <c r="BT71" s="6"/>
      <c r="CG71" s="26"/>
      <c r="CH71" s="26"/>
    </row>
    <row r="72" spans="33:151" ht="16" customHeight="1">
      <c r="AG72" s="23">
        <f t="shared" si="83"/>
        <v>1.3999999999999992E-2</v>
      </c>
      <c r="AH72" s="14">
        <f t="shared" si="84"/>
        <v>49.51051289713898</v>
      </c>
      <c r="AV72" s="126"/>
      <c r="AW72" s="126"/>
      <c r="AX72" s="5" t="s">
        <v>230</v>
      </c>
      <c r="AY72">
        <v>1999</v>
      </c>
      <c r="AZ72" s="218">
        <v>2.1000000000000001E-2</v>
      </c>
      <c r="BA72" s="415"/>
      <c r="BB72" s="374"/>
      <c r="BO72" s="53">
        <v>5.0000000000000001E-3</v>
      </c>
      <c r="BP72" t="s">
        <v>231</v>
      </c>
      <c r="BR72" s="41">
        <f>1-BO72</f>
        <v>0.995</v>
      </c>
      <c r="BS72" t="s">
        <v>232</v>
      </c>
      <c r="BU72" t="s">
        <v>233</v>
      </c>
      <c r="CG72" s="26"/>
      <c r="CH72" s="26"/>
      <c r="EU72" s="14"/>
    </row>
    <row r="73" spans="33:151" ht="16.44">
      <c r="AG73" s="23">
        <f t="shared" si="83"/>
        <v>1.2999999999999991E-2</v>
      </c>
      <c r="AH73" s="14">
        <f t="shared" si="84"/>
        <v>53.319013889226596</v>
      </c>
      <c r="AU73" s="126"/>
      <c r="AV73" s="126"/>
      <c r="AW73" s="126"/>
      <c r="AX73" s="83" t="s">
        <v>222</v>
      </c>
      <c r="AY73">
        <v>2007</v>
      </c>
      <c r="AZ73" s="216">
        <v>2.0714285714285713E-2</v>
      </c>
      <c r="BA73" s="415"/>
      <c r="BB73" s="374"/>
      <c r="BO73">
        <f>LN(BR72)</f>
        <v>-5.0125418235442863E-3</v>
      </c>
      <c r="BP73" t="s">
        <v>234</v>
      </c>
      <c r="CG73" s="26"/>
      <c r="CH73" s="26"/>
    </row>
    <row r="74" spans="33:151" ht="16.44">
      <c r="AG74" s="23">
        <f t="shared" si="83"/>
        <v>1.199999999999999E-2</v>
      </c>
      <c r="AH74" s="14">
        <f t="shared" si="84"/>
        <v>57.762265046662158</v>
      </c>
      <c r="AU74" s="126"/>
      <c r="AV74" s="126"/>
      <c r="AW74" s="126"/>
      <c r="AX74" s="83" t="s">
        <v>235</v>
      </c>
      <c r="AY74">
        <v>1996</v>
      </c>
      <c r="AZ74" s="216">
        <v>1.9857142857142858E-2</v>
      </c>
      <c r="BA74" s="415"/>
      <c r="BB74" s="374"/>
      <c r="BO74" s="42">
        <f>100*EXP(BO73*100)</f>
        <v>60.577043649072792</v>
      </c>
      <c r="BP74" s="43" t="s">
        <v>236</v>
      </c>
      <c r="BQ74" s="43"/>
      <c r="BR74" s="43"/>
      <c r="BS74" s="43"/>
      <c r="CB74"/>
      <c r="CC74"/>
      <c r="CD74"/>
      <c r="CE74"/>
      <c r="CF74"/>
      <c r="CG74"/>
      <c r="CH74"/>
      <c r="CI74"/>
    </row>
    <row r="75" spans="33:151" ht="16" customHeight="1">
      <c r="AG75" s="23">
        <f t="shared" si="83"/>
        <v>1.0999999999999989E-2</v>
      </c>
      <c r="AH75" s="14">
        <f t="shared" si="84"/>
        <v>63.013380050904182</v>
      </c>
      <c r="AS75" s="6"/>
      <c r="AT75" s="6"/>
      <c r="AX75" s="83" t="s">
        <v>237</v>
      </c>
      <c r="AY75">
        <v>2007</v>
      </c>
      <c r="AZ75" s="216">
        <v>1.9571428571428573E-2</v>
      </c>
      <c r="BA75" s="415"/>
      <c r="BB75" s="374"/>
      <c r="BX75" s="416" t="s">
        <v>238</v>
      </c>
      <c r="BY75" s="416"/>
      <c r="BZ75" s="416"/>
      <c r="CA75" s="416"/>
      <c r="CB75" s="416"/>
      <c r="CC75" s="416"/>
      <c r="CD75" s="416"/>
      <c r="CE75" s="416"/>
      <c r="CF75"/>
      <c r="CG75"/>
      <c r="CH75"/>
      <c r="CI75"/>
    </row>
    <row r="76" spans="33:151" ht="16.44">
      <c r="AG76" s="23">
        <f t="shared" si="83"/>
        <v>9.9999999999999881E-3</v>
      </c>
      <c r="AH76" s="14">
        <f t="shared" si="84"/>
        <v>69.314718055994618</v>
      </c>
      <c r="AX76" s="5" t="s">
        <v>239</v>
      </c>
      <c r="AY76">
        <v>2016</v>
      </c>
      <c r="AZ76" s="218">
        <v>1.9E-2</v>
      </c>
      <c r="BA76" s="415"/>
      <c r="BB76" s="374"/>
      <c r="BO76" s="6" t="s">
        <v>240</v>
      </c>
      <c r="BX76" s="416"/>
      <c r="BY76" s="416"/>
      <c r="BZ76" s="416"/>
      <c r="CA76" s="416"/>
      <c r="CB76" s="416"/>
      <c r="CC76" s="416"/>
      <c r="CD76" s="416"/>
      <c r="CE76" s="416"/>
    </row>
    <row r="77" spans="33:151" ht="16.44">
      <c r="AG77" s="23">
        <f t="shared" si="83"/>
        <v>8.9999999999999872E-3</v>
      </c>
      <c r="AH77" s="14">
        <f t="shared" si="84"/>
        <v>77.016353395549586</v>
      </c>
      <c r="AX77" s="83" t="s">
        <v>241</v>
      </c>
      <c r="AY77">
        <v>1995</v>
      </c>
      <c r="AZ77" s="216">
        <v>1.8714285714285715E-2</v>
      </c>
      <c r="BA77" s="415"/>
      <c r="BB77" s="374"/>
      <c r="BO77" s="53">
        <v>0.01</v>
      </c>
      <c r="BP77" t="s">
        <v>231</v>
      </c>
      <c r="BR77" s="41">
        <f>1-BO77</f>
        <v>0.99</v>
      </c>
      <c r="BS77" t="s">
        <v>232</v>
      </c>
      <c r="BX77" s="416"/>
      <c r="BY77" s="416"/>
      <c r="BZ77" s="416"/>
      <c r="CA77" s="416"/>
      <c r="CB77" s="416"/>
      <c r="CC77" s="416"/>
      <c r="CD77" s="416"/>
      <c r="CE77" s="416"/>
    </row>
    <row r="78" spans="33:151" ht="16.44">
      <c r="AG78" s="23">
        <f t="shared" si="83"/>
        <v>7.9999999999999863E-3</v>
      </c>
      <c r="AH78" s="14">
        <f t="shared" si="84"/>
        <v>86.643397569993311</v>
      </c>
      <c r="AX78" s="83" t="s">
        <v>222</v>
      </c>
      <c r="AY78">
        <v>2007</v>
      </c>
      <c r="AZ78" s="216">
        <v>1.7428571428571429E-2</v>
      </c>
      <c r="BA78" s="415"/>
      <c r="BB78" s="374"/>
      <c r="BO78">
        <f>LN(BR77)</f>
        <v>-1.0050335853501451E-2</v>
      </c>
      <c r="BP78" t="s">
        <v>234</v>
      </c>
      <c r="BX78" s="416"/>
      <c r="BY78" s="416"/>
      <c r="BZ78" s="416"/>
      <c r="CA78" s="416"/>
      <c r="CB78" s="416"/>
      <c r="CC78" s="416"/>
      <c r="CD78" s="416"/>
      <c r="CE78" s="416"/>
    </row>
    <row r="79" spans="33:151" ht="16" customHeight="1">
      <c r="AG79" s="23">
        <f t="shared" si="83"/>
        <v>6.9999999999999863E-3</v>
      </c>
      <c r="AH79" s="14">
        <f t="shared" si="84"/>
        <v>99.021025794278088</v>
      </c>
      <c r="AX79" s="5" t="s">
        <v>242</v>
      </c>
      <c r="AY79">
        <v>2000</v>
      </c>
      <c r="AZ79" s="218">
        <v>1.7000000000000001E-2</v>
      </c>
      <c r="BA79" s="415"/>
      <c r="BB79" s="374"/>
      <c r="BO79" s="205">
        <v>3</v>
      </c>
      <c r="BP79" s="206">
        <v>19</v>
      </c>
      <c r="BQ79" s="206"/>
      <c r="BR79" t="s">
        <v>243</v>
      </c>
      <c r="BU79">
        <f>BO79*BP79</f>
        <v>57</v>
      </c>
      <c r="BV79" t="s">
        <v>244</v>
      </c>
      <c r="BX79" s="416"/>
      <c r="BY79" s="416"/>
      <c r="BZ79" s="416"/>
      <c r="CA79" s="416"/>
      <c r="CB79" s="416"/>
      <c r="CC79" s="416"/>
      <c r="CD79" s="416"/>
      <c r="CE79" s="416"/>
      <c r="CF79" s="27"/>
      <c r="CG79" s="27"/>
      <c r="CH79" s="27"/>
      <c r="CI79" s="27"/>
      <c r="CJ79" s="27"/>
      <c r="CK79" s="27"/>
      <c r="CL79" s="27"/>
      <c r="CM79" s="27"/>
      <c r="CN79" s="27"/>
      <c r="CO79" s="73"/>
    </row>
    <row r="80" spans="33:151" ht="16.44">
      <c r="AG80" s="23">
        <f t="shared" si="83"/>
        <v>5.9999999999999862E-3</v>
      </c>
      <c r="AH80" s="14">
        <f t="shared" si="84"/>
        <v>115.52453009332447</v>
      </c>
      <c r="AX80" s="83" t="s">
        <v>245</v>
      </c>
      <c r="AY80">
        <v>2002</v>
      </c>
      <c r="AZ80" s="28">
        <v>1.3571428571428571E-2</v>
      </c>
      <c r="BB80" s="374"/>
      <c r="BO80" s="42">
        <f>100*EXP(BO78*BU79)</f>
        <v>56.390519045238761</v>
      </c>
      <c r="BP80" s="43" t="s">
        <v>246</v>
      </c>
      <c r="BQ80" s="43"/>
      <c r="BR80" s="43">
        <f>BU79</f>
        <v>57</v>
      </c>
      <c r="BS80" s="43" t="s">
        <v>247</v>
      </c>
      <c r="DR80" s="29"/>
      <c r="DS80" s="166"/>
      <c r="DT80" s="29"/>
      <c r="DU80" s="28"/>
      <c r="DV80" s="28"/>
      <c r="DX80" s="30"/>
      <c r="DY80" s="28"/>
      <c r="EK80" s="17"/>
      <c r="EL80" s="14"/>
    </row>
    <row r="81" spans="33:142" s="16" customFormat="1" ht="16" customHeight="1">
      <c r="AG81" s="23">
        <f t="shared" si="83"/>
        <v>4.9999999999999862E-3</v>
      </c>
      <c r="AH81" s="14">
        <f t="shared" si="84"/>
        <v>138.62943611198943</v>
      </c>
      <c r="AR81"/>
      <c r="AX81" s="83" t="s">
        <v>248</v>
      </c>
      <c r="AY81">
        <v>1995</v>
      </c>
      <c r="AZ81" s="28">
        <v>1.1428571428571429E-2</v>
      </c>
      <c r="BB81" s="165"/>
      <c r="BE81"/>
      <c r="BK81"/>
      <c r="BL81"/>
      <c r="BO81"/>
      <c r="BP81"/>
      <c r="BQ81"/>
      <c r="BR81"/>
      <c r="BS81"/>
      <c r="BT81"/>
      <c r="BX81" t="s">
        <v>249</v>
      </c>
      <c r="CG81" s="9"/>
      <c r="CH81" s="9"/>
      <c r="CI81" s="9"/>
      <c r="CP81"/>
      <c r="CQ81"/>
      <c r="CR81"/>
      <c r="CS81"/>
      <c r="CT81"/>
      <c r="CU81"/>
      <c r="CV81"/>
      <c r="CW81"/>
      <c r="CX81"/>
      <c r="CY81"/>
      <c r="CZ81"/>
      <c r="DA81"/>
      <c r="DB81"/>
      <c r="DC81"/>
      <c r="DD81"/>
      <c r="DE81"/>
      <c r="DF81"/>
      <c r="DG81"/>
      <c r="DH81"/>
      <c r="DI81"/>
      <c r="DJ81"/>
      <c r="DK81"/>
      <c r="DL81"/>
      <c r="DM81"/>
      <c r="DN81"/>
      <c r="DO81"/>
      <c r="DP81"/>
      <c r="DQ81"/>
      <c r="DR81"/>
      <c r="DS81" s="374"/>
      <c r="DT81"/>
      <c r="DU81"/>
      <c r="DV81"/>
      <c r="DW81"/>
      <c r="DX81" s="32"/>
      <c r="DZ81"/>
      <c r="EA81"/>
      <c r="EB81"/>
      <c r="EC81"/>
      <c r="ED81"/>
      <c r="EE81"/>
      <c r="EF81"/>
      <c r="EG81"/>
      <c r="EH81"/>
      <c r="EI81"/>
      <c r="EJ81"/>
      <c r="EK81" s="33"/>
      <c r="EL81" s="27"/>
    </row>
    <row r="82" spans="33:142" ht="16.44">
      <c r="AG82" s="23">
        <f>AG81-0.001</f>
        <v>3.9999999999999862E-3</v>
      </c>
      <c r="AH82" s="14">
        <f>(LN(2))/AG82</f>
        <v>173.28679513998691</v>
      </c>
      <c r="AX82" s="83" t="s">
        <v>250</v>
      </c>
      <c r="AY82">
        <v>1999</v>
      </c>
      <c r="AZ82" s="28">
        <v>1.035681555964402E-2</v>
      </c>
      <c r="BB82" s="374"/>
      <c r="BX82" s="352" t="s">
        <v>251</v>
      </c>
      <c r="CJ82"/>
      <c r="DR82"/>
      <c r="DS82" s="374"/>
      <c r="DT82"/>
      <c r="EK82" s="34"/>
      <c r="EL82" s="14"/>
    </row>
    <row r="83" spans="33:142" ht="16" customHeight="1">
      <c r="AG83" s="23">
        <f t="shared" si="83"/>
        <v>2.9999999999999862E-3</v>
      </c>
      <c r="AH83" s="14">
        <f>(LN(2))/AG83</f>
        <v>231.04906018664948</v>
      </c>
      <c r="AX83" s="5" t="s">
        <v>252</v>
      </c>
      <c r="AY83">
        <v>2000</v>
      </c>
      <c r="AZ83" s="28">
        <v>0.01</v>
      </c>
      <c r="BB83" s="374"/>
      <c r="BR83" s="14"/>
      <c r="CJ83"/>
      <c r="DR83"/>
      <c r="DS83" s="374"/>
      <c r="DT83"/>
    </row>
    <row r="84" spans="33:142" ht="16.44">
      <c r="AG84" s="23">
        <f t="shared" si="83"/>
        <v>1.9999999999999862E-3</v>
      </c>
      <c r="AH84" s="14">
        <f>(LN(2))/AG84</f>
        <v>346.57359027997506</v>
      </c>
      <c r="AX84" s="83" t="s">
        <v>237</v>
      </c>
      <c r="AY84">
        <v>2007</v>
      </c>
      <c r="AZ84" s="28">
        <v>8.7142857142857143E-3</v>
      </c>
      <c r="BB84" s="374"/>
      <c r="BG84" s="6"/>
      <c r="CG84" s="35"/>
      <c r="CH84" s="35"/>
      <c r="CI84" s="163"/>
      <c r="CJ84" s="163"/>
      <c r="DR84"/>
      <c r="DS84" s="374"/>
      <c r="DT84"/>
      <c r="EK84" s="17"/>
      <c r="EL84" s="14"/>
    </row>
    <row r="85" spans="33:142" ht="16.44">
      <c r="AX85" s="83" t="s">
        <v>253</v>
      </c>
      <c r="AY85">
        <v>2001</v>
      </c>
      <c r="AZ85" s="28">
        <v>6.7142857142857143E-3</v>
      </c>
      <c r="BB85" s="374"/>
      <c r="BS85" s="17"/>
      <c r="BT85" s="17"/>
      <c r="CJ85"/>
      <c r="DR85"/>
      <c r="DS85" s="374"/>
      <c r="DT85"/>
      <c r="EK85" s="17"/>
      <c r="EL85" s="14"/>
    </row>
    <row r="86" spans="33:142" ht="16.44">
      <c r="AX86" s="83" t="s">
        <v>254</v>
      </c>
      <c r="AY86">
        <v>1999</v>
      </c>
      <c r="AZ86" s="28">
        <v>4.7142857142857143E-3</v>
      </c>
      <c r="BB86" s="374"/>
      <c r="CG86" s="163"/>
      <c r="CH86" s="163"/>
      <c r="CI86" s="163"/>
      <c r="CJ86" s="163"/>
      <c r="DR86"/>
      <c r="DS86" s="374"/>
      <c r="DT86"/>
      <c r="EK86" s="17"/>
      <c r="EL86" s="14"/>
    </row>
    <row r="87" spans="33:142" ht="63.75">
      <c r="AX87" s="83" t="s">
        <v>255</v>
      </c>
      <c r="AY87">
        <v>1999</v>
      </c>
      <c r="AZ87" s="216">
        <v>3.9670639760890931E-3</v>
      </c>
      <c r="BA87" s="402" t="s">
        <v>256</v>
      </c>
      <c r="BB87" s="374"/>
      <c r="CA87" s="363"/>
      <c r="CB87" s="368" t="s">
        <v>257</v>
      </c>
      <c r="CC87" s="368"/>
      <c r="CD87" s="368"/>
      <c r="CE87" s="192" t="s">
        <v>258</v>
      </c>
      <c r="CF87" s="357" t="s">
        <v>259</v>
      </c>
      <c r="CG87" s="368" t="s">
        <v>260</v>
      </c>
      <c r="CH87" s="368"/>
      <c r="CJ87" s="163"/>
      <c r="DX87" s="374"/>
      <c r="DY87" s="374"/>
    </row>
    <row r="88" spans="33:142" ht="47.81">
      <c r="AX88" s="83" t="s">
        <v>261</v>
      </c>
      <c r="AY88">
        <v>2000</v>
      </c>
      <c r="AZ88" s="216">
        <v>3.4285714285714288E-3</v>
      </c>
      <c r="BA88" s="402"/>
      <c r="BB88" s="374"/>
      <c r="CA88" s="368" t="s">
        <v>262</v>
      </c>
      <c r="CB88" s="368" t="s">
        <v>263</v>
      </c>
      <c r="CC88" s="368"/>
      <c r="CD88" s="368"/>
      <c r="CE88" s="368">
        <f>BW128</f>
        <v>0</v>
      </c>
      <c r="CF88" s="368" t="s">
        <v>264</v>
      </c>
      <c r="CG88" s="363"/>
      <c r="CH88" s="363"/>
      <c r="CI88" s="5" t="s">
        <v>265</v>
      </c>
      <c r="CJ88" s="163"/>
    </row>
    <row r="89" spans="33:142" ht="16.44">
      <c r="AX89" s="83" t="s">
        <v>266</v>
      </c>
      <c r="AY89">
        <v>1999</v>
      </c>
      <c r="AZ89" s="216">
        <v>3.2857142857142855E-3</v>
      </c>
      <c r="BA89" s="402"/>
      <c r="BB89" s="374"/>
      <c r="BZ89" s="5">
        <v>40</v>
      </c>
      <c r="CA89" s="43">
        <v>0</v>
      </c>
      <c r="CB89" s="211">
        <v>1E-3</v>
      </c>
      <c r="CC89" s="211"/>
      <c r="CD89" s="211"/>
      <c r="CE89" s="43">
        <v>40</v>
      </c>
      <c r="CF89" s="62">
        <f t="shared" ref="CF89:CF107" si="85">12+CE89</f>
        <v>52</v>
      </c>
      <c r="CG89" s="21">
        <f t="shared" ref="CG89:CG107" si="86">-$CI$92*LN(CB89)+$CI$89</f>
        <v>39.538776394910684</v>
      </c>
      <c r="CH89" s="21"/>
      <c r="CI89" s="142">
        <v>5</v>
      </c>
      <c r="CJ89" s="163"/>
    </row>
    <row r="90" spans="33:142" ht="16.44">
      <c r="AX90" s="83" t="s">
        <v>237</v>
      </c>
      <c r="AY90">
        <v>2007</v>
      </c>
      <c r="AZ90" s="216">
        <v>3.0000000000000001E-3</v>
      </c>
      <c r="BA90" s="402"/>
      <c r="BB90" s="374"/>
      <c r="BZ90" s="5">
        <v>30</v>
      </c>
      <c r="CA90" s="43">
        <v>10</v>
      </c>
      <c r="CB90" s="210">
        <f t="shared" ref="CB90:CB107" si="87">CA90*20/8000</f>
        <v>2.5000000000000001E-2</v>
      </c>
      <c r="CC90" s="210"/>
      <c r="CD90" s="210"/>
      <c r="CE90" s="43">
        <v>30</v>
      </c>
      <c r="CF90" s="62">
        <f t="shared" si="85"/>
        <v>42</v>
      </c>
      <c r="CG90" s="21">
        <f t="shared" si="86"/>
        <v>23.444397270569681</v>
      </c>
      <c r="CH90" s="21"/>
      <c r="CJ90" s="163"/>
    </row>
    <row r="91" spans="33:142" ht="16.44">
      <c r="AX91" s="83" t="s">
        <v>267</v>
      </c>
      <c r="AY91">
        <v>2000</v>
      </c>
      <c r="AZ91" s="216">
        <v>2.142857142857143E-3</v>
      </c>
      <c r="BA91" s="402"/>
      <c r="BB91" s="374"/>
      <c r="BZ91" s="5">
        <v>20</v>
      </c>
      <c r="CA91" s="43">
        <v>25</v>
      </c>
      <c r="CB91" s="210">
        <f t="shared" si="87"/>
        <v>6.25E-2</v>
      </c>
      <c r="CC91" s="210"/>
      <c r="CD91" s="210"/>
      <c r="CE91" s="43">
        <v>20</v>
      </c>
      <c r="CF91" s="62">
        <f t="shared" si="85"/>
        <v>32</v>
      </c>
      <c r="CG91" s="21">
        <f t="shared" si="86"/>
        <v>18.862943611198908</v>
      </c>
      <c r="CH91" s="21"/>
      <c r="CI91" s="5" t="s">
        <v>268</v>
      </c>
      <c r="CJ91" s="163"/>
    </row>
    <row r="92" spans="33:142" ht="16.44">
      <c r="AX92" s="83" t="s">
        <v>269</v>
      </c>
      <c r="AY92">
        <v>1999</v>
      </c>
      <c r="AZ92" s="216">
        <v>-8.0662155061252579E-3</v>
      </c>
      <c r="BA92" s="402"/>
      <c r="BB92" s="374"/>
      <c r="BU92">
        <v>1.45</v>
      </c>
      <c r="BV92">
        <v>16.2</v>
      </c>
      <c r="BW92" s="212">
        <f>LN(BU92)/BV92</f>
        <v>2.2936022002005126E-2</v>
      </c>
      <c r="BZ92" s="5">
        <v>17</v>
      </c>
      <c r="CA92" s="43">
        <v>40</v>
      </c>
      <c r="CB92" s="210">
        <f t="shared" si="87"/>
        <v>0.1</v>
      </c>
      <c r="CC92" s="210"/>
      <c r="CD92" s="210"/>
      <c r="CE92" s="43">
        <v>17</v>
      </c>
      <c r="CF92" s="62">
        <f t="shared" si="85"/>
        <v>29</v>
      </c>
      <c r="CG92" s="21">
        <f t="shared" si="86"/>
        <v>16.512925464970227</v>
      </c>
      <c r="CH92" s="21"/>
      <c r="CI92" s="142">
        <v>5</v>
      </c>
      <c r="CR92" s="354"/>
      <c r="CS92" s="354"/>
      <c r="CT92" s="354"/>
      <c r="CU92" s="354"/>
    </row>
    <row r="93" spans="33:142" ht="16.44">
      <c r="BB93" s="374"/>
      <c r="BU93">
        <v>1.22</v>
      </c>
      <c r="BV93">
        <v>19.2</v>
      </c>
      <c r="BW93" s="212">
        <f>LN(BU93)/BV93</f>
        <v>1.035681555964402E-2</v>
      </c>
      <c r="CA93" s="207">
        <v>50</v>
      </c>
      <c r="CB93" s="209">
        <f t="shared" si="87"/>
        <v>0.125</v>
      </c>
      <c r="CC93" s="209"/>
      <c r="CD93" s="209"/>
      <c r="CE93" s="208">
        <v>14.285714285714285</v>
      </c>
      <c r="CF93" s="208">
        <f t="shared" si="85"/>
        <v>26.285714285714285</v>
      </c>
      <c r="CG93" s="21">
        <f t="shared" si="86"/>
        <v>15.397207708399179</v>
      </c>
      <c r="CH93" s="21"/>
      <c r="CR93" s="354"/>
      <c r="CS93" s="354"/>
      <c r="CT93" s="354"/>
      <c r="CU93" s="354"/>
    </row>
    <row r="94" spans="33:142">
      <c r="BB94" s="374"/>
      <c r="BU94">
        <v>1.08</v>
      </c>
      <c r="BV94">
        <v>19.399999999999999</v>
      </c>
      <c r="BW94" s="212">
        <f>LN(BU94)/BV94</f>
        <v>3.9670639760890931E-3</v>
      </c>
      <c r="CA94" s="207">
        <v>100</v>
      </c>
      <c r="CB94" s="209">
        <f t="shared" si="87"/>
        <v>0.25</v>
      </c>
      <c r="CC94" s="209"/>
      <c r="CD94" s="209"/>
      <c r="CE94" s="208">
        <v>12.5</v>
      </c>
      <c r="CF94" s="208">
        <f t="shared" si="85"/>
        <v>24.5</v>
      </c>
      <c r="CG94" s="21">
        <f t="shared" si="86"/>
        <v>11.931471805599454</v>
      </c>
      <c r="CH94" s="21"/>
    </row>
    <row r="95" spans="33:142">
      <c r="BB95" s="374"/>
      <c r="BU95">
        <v>0.83</v>
      </c>
      <c r="BV95">
        <v>23.1</v>
      </c>
      <c r="BW95" s="212">
        <f>LN(BU95)/BV95</f>
        <v>-8.0662155061252579E-3</v>
      </c>
      <c r="BZ95" s="47"/>
      <c r="CA95" s="207">
        <v>150</v>
      </c>
      <c r="CB95" s="209">
        <f t="shared" si="87"/>
        <v>0.375</v>
      </c>
      <c r="CC95" s="209"/>
      <c r="CD95" s="209"/>
      <c r="CE95" s="208">
        <v>10.526315789473685</v>
      </c>
      <c r="CF95" s="208">
        <f t="shared" si="85"/>
        <v>22.526315789473685</v>
      </c>
      <c r="CG95" s="21">
        <f t="shared" si="86"/>
        <v>9.9041462650586318</v>
      </c>
      <c r="CH95" s="21"/>
    </row>
    <row r="96" spans="33:142" ht="16" customHeight="1">
      <c r="BB96" s="374"/>
      <c r="BX96" s="39"/>
      <c r="BZ96" s="47"/>
      <c r="CA96" s="207">
        <v>200</v>
      </c>
      <c r="CB96" s="209">
        <f t="shared" si="87"/>
        <v>0.5</v>
      </c>
      <c r="CC96" s="209"/>
      <c r="CD96" s="209"/>
      <c r="CE96" s="208">
        <v>9.0909090909090917</v>
      </c>
      <c r="CF96" s="208">
        <f t="shared" si="85"/>
        <v>21.090909090909093</v>
      </c>
      <c r="CG96" s="21">
        <f t="shared" si="86"/>
        <v>8.465735902799727</v>
      </c>
      <c r="CH96" s="21"/>
    </row>
    <row r="97" spans="64:135">
      <c r="BZ97" s="47"/>
      <c r="CA97" s="207">
        <v>250</v>
      </c>
      <c r="CB97" s="209">
        <f t="shared" si="87"/>
        <v>0.625</v>
      </c>
      <c r="CC97" s="209"/>
      <c r="CD97" s="209"/>
      <c r="CE97" s="208">
        <v>7.6923076923076916</v>
      </c>
      <c r="CF97" s="208">
        <f t="shared" si="85"/>
        <v>19.692307692307693</v>
      </c>
      <c r="CG97" s="21">
        <f t="shared" si="86"/>
        <v>7.3500181462286776</v>
      </c>
      <c r="CH97" s="21"/>
    </row>
    <row r="98" spans="64:135">
      <c r="BZ98" s="47"/>
      <c r="CA98" s="207">
        <v>300</v>
      </c>
      <c r="CB98" s="209">
        <f t="shared" si="87"/>
        <v>0.75</v>
      </c>
      <c r="CC98" s="209"/>
      <c r="CD98" s="209"/>
      <c r="CE98" s="208">
        <v>6.666666666666667</v>
      </c>
      <c r="CF98" s="208">
        <f t="shared" si="85"/>
        <v>18.666666666666668</v>
      </c>
      <c r="CG98" s="21">
        <f t="shared" si="86"/>
        <v>6.4384103622589048</v>
      </c>
      <c r="CH98" s="21"/>
    </row>
    <row r="99" spans="64:135">
      <c r="BZ99" s="17"/>
      <c r="CA99" s="207">
        <v>350</v>
      </c>
      <c r="CB99" s="209">
        <f t="shared" si="87"/>
        <v>0.875</v>
      </c>
      <c r="CC99" s="209"/>
      <c r="CD99" s="209"/>
      <c r="CE99" s="208">
        <v>4.2105263157894735</v>
      </c>
      <c r="CF99" s="208">
        <f t="shared" si="85"/>
        <v>16.210526315789473</v>
      </c>
      <c r="CG99" s="21">
        <f t="shared" si="86"/>
        <v>5.6676569631226128</v>
      </c>
      <c r="CH99" s="21"/>
      <c r="CJ99" s="163"/>
      <c r="CK99" s="163"/>
      <c r="CL99" s="163"/>
      <c r="CM99" s="163"/>
      <c r="CN99" s="163"/>
    </row>
    <row r="100" spans="64:135" ht="16" customHeight="1">
      <c r="BY100" s="365"/>
      <c r="BZ100" s="17"/>
      <c r="CA100" s="207">
        <v>400</v>
      </c>
      <c r="CB100" s="209">
        <f t="shared" si="87"/>
        <v>1</v>
      </c>
      <c r="CC100" s="209"/>
      <c r="CD100" s="209"/>
      <c r="CE100" s="208">
        <v>3.6363636363636367</v>
      </c>
      <c r="CF100" s="208">
        <f t="shared" si="85"/>
        <v>15.636363636363637</v>
      </c>
      <c r="CG100" s="21">
        <f t="shared" si="86"/>
        <v>5</v>
      </c>
      <c r="CH100" s="21"/>
      <c r="CJ100" s="163"/>
      <c r="CK100" s="163"/>
      <c r="CL100" s="163"/>
      <c r="CM100" s="163"/>
      <c r="CN100" s="163"/>
    </row>
    <row r="101" spans="64:135" ht="16" customHeight="1">
      <c r="BZ101" s="17"/>
      <c r="CA101" s="207">
        <v>450</v>
      </c>
      <c r="CB101" s="209">
        <f t="shared" si="87"/>
        <v>1.125</v>
      </c>
      <c r="CC101" s="209"/>
      <c r="CD101" s="209"/>
      <c r="CE101" s="208">
        <v>3.0769230769230771</v>
      </c>
      <c r="CF101" s="208">
        <f t="shared" si="85"/>
        <v>15.076923076923077</v>
      </c>
      <c r="CG101" s="21">
        <f t="shared" si="86"/>
        <v>4.4110848217180827</v>
      </c>
      <c r="CH101" s="21"/>
      <c r="CJ101" s="163"/>
      <c r="CK101" s="163"/>
      <c r="CL101" s="163"/>
      <c r="CM101" s="163"/>
      <c r="CN101" s="163"/>
    </row>
    <row r="102" spans="64:135">
      <c r="BL102" s="23"/>
      <c r="BZ102" s="17"/>
      <c r="CA102" s="207">
        <v>500</v>
      </c>
      <c r="CB102" s="209">
        <f t="shared" si="87"/>
        <v>1.25</v>
      </c>
      <c r="CC102" s="209"/>
      <c r="CD102" s="209"/>
      <c r="CE102" s="208">
        <v>2.8571428571428572</v>
      </c>
      <c r="CF102" s="208">
        <f t="shared" si="85"/>
        <v>14.857142857142858</v>
      </c>
      <c r="CG102" s="21">
        <f t="shared" si="86"/>
        <v>3.8842822434289515</v>
      </c>
      <c r="CH102" s="21"/>
      <c r="CJ102" s="163"/>
      <c r="CK102" s="163"/>
      <c r="CL102" s="163"/>
      <c r="CM102" s="163"/>
      <c r="CN102" s="163"/>
    </row>
    <row r="103" spans="64:135">
      <c r="BL103" s="23"/>
      <c r="BZ103" s="17"/>
      <c r="CA103" s="207">
        <v>550</v>
      </c>
      <c r="CB103" s="209">
        <f t="shared" si="87"/>
        <v>1.375</v>
      </c>
      <c r="CC103" s="209"/>
      <c r="CD103" s="209"/>
      <c r="CE103" s="208">
        <v>1.8181818181818181</v>
      </c>
      <c r="CF103" s="208">
        <f t="shared" si="85"/>
        <v>13.818181818181818</v>
      </c>
      <c r="CG103" s="21">
        <f t="shared" si="86"/>
        <v>3.4077313444073272</v>
      </c>
      <c r="CH103" s="21"/>
      <c r="CJ103" s="163"/>
      <c r="CK103" s="163"/>
      <c r="CL103" s="163"/>
      <c r="CM103" s="163"/>
      <c r="CN103" s="163"/>
      <c r="DX103" s="17"/>
      <c r="DY103" s="17"/>
    </row>
    <row r="104" spans="64:135" ht="16" customHeight="1">
      <c r="BL104" s="23"/>
      <c r="BZ104" s="17"/>
      <c r="CA104" s="207">
        <v>600</v>
      </c>
      <c r="CB104" s="209">
        <f t="shared" si="87"/>
        <v>1.5</v>
      </c>
      <c r="CC104" s="209"/>
      <c r="CD104" s="209"/>
      <c r="CE104" s="208">
        <v>1.6216216216216215</v>
      </c>
      <c r="CF104" s="208">
        <f t="shared" si="85"/>
        <v>13.621621621621621</v>
      </c>
      <c r="CG104" s="21">
        <f t="shared" si="86"/>
        <v>2.9726744594591779</v>
      </c>
      <c r="CH104" s="21"/>
      <c r="CJ104" s="49"/>
      <c r="CK104" s="49"/>
      <c r="CL104" s="49"/>
      <c r="CM104" s="49"/>
      <c r="CN104" s="49"/>
      <c r="CO104" s="49"/>
      <c r="CP104" s="49"/>
      <c r="CQ104" s="49"/>
      <c r="CR104" s="49"/>
      <c r="CS104" s="49"/>
      <c r="CT104" s="49"/>
      <c r="CU104" s="49"/>
      <c r="CV104" s="49"/>
      <c r="CW104" s="49"/>
      <c r="CX104" s="49"/>
      <c r="CY104" s="49"/>
    </row>
    <row r="105" spans="64:135">
      <c r="BL105" s="23"/>
      <c r="BZ105" s="17">
        <v>1.4</v>
      </c>
      <c r="CA105" s="43">
        <v>800</v>
      </c>
      <c r="CB105" s="210">
        <f t="shared" si="87"/>
        <v>2</v>
      </c>
      <c r="CC105" s="210"/>
      <c r="CD105" s="210"/>
      <c r="CE105" s="43">
        <v>1.4</v>
      </c>
      <c r="CF105" s="62">
        <f t="shared" si="85"/>
        <v>13.4</v>
      </c>
      <c r="CG105" s="21">
        <f t="shared" si="86"/>
        <v>1.5342640972002735</v>
      </c>
      <c r="CH105" s="21"/>
      <c r="CJ105" s="49"/>
      <c r="CK105" s="49"/>
      <c r="CL105" s="49"/>
      <c r="CM105" s="49"/>
      <c r="CN105" s="49"/>
      <c r="CO105" s="49"/>
      <c r="CP105" s="49"/>
      <c r="CQ105" s="49"/>
      <c r="CR105" s="49"/>
      <c r="CS105" s="49"/>
      <c r="CT105" s="49"/>
      <c r="CU105" s="49"/>
      <c r="CV105" s="49"/>
      <c r="CW105" s="49"/>
      <c r="CX105" s="49"/>
      <c r="CY105" s="49"/>
    </row>
    <row r="106" spans="64:135">
      <c r="BL106" s="23"/>
      <c r="BZ106" s="17">
        <v>1</v>
      </c>
      <c r="CA106" s="43">
        <v>1000</v>
      </c>
      <c r="CB106" s="210">
        <f t="shared" si="87"/>
        <v>2.5</v>
      </c>
      <c r="CC106" s="210"/>
      <c r="CD106" s="210"/>
      <c r="CE106" s="43">
        <v>1</v>
      </c>
      <c r="CF106" s="62">
        <f t="shared" si="85"/>
        <v>13</v>
      </c>
      <c r="CG106" s="21">
        <f t="shared" si="86"/>
        <v>0.41854634062922447</v>
      </c>
      <c r="CH106" s="21"/>
      <c r="CJ106" s="49"/>
      <c r="CK106" s="49"/>
      <c r="CL106" s="49"/>
      <c r="CM106" s="49"/>
      <c r="CN106" s="49"/>
      <c r="CO106" s="49"/>
      <c r="CP106" s="49"/>
      <c r="CQ106" s="49"/>
      <c r="CR106" s="49"/>
      <c r="CS106" s="49"/>
      <c r="CT106" s="49"/>
      <c r="CU106" s="49"/>
      <c r="CV106" s="49"/>
      <c r="CW106" s="49"/>
      <c r="CX106" s="49"/>
      <c r="CY106" s="49"/>
      <c r="DZ106" s="5"/>
      <c r="EA106" s="5"/>
      <c r="EB106" s="5"/>
      <c r="EC106" s="5"/>
      <c r="ED106" s="5"/>
    </row>
    <row r="107" spans="64:135">
      <c r="BL107" s="23"/>
      <c r="BZ107" s="17">
        <v>0.5</v>
      </c>
      <c r="CA107" s="43">
        <v>1200</v>
      </c>
      <c r="CB107" s="210">
        <f t="shared" si="87"/>
        <v>3</v>
      </c>
      <c r="CC107" s="210"/>
      <c r="CD107" s="210"/>
      <c r="CE107" s="43">
        <v>0.5</v>
      </c>
      <c r="CF107" s="62">
        <f t="shared" si="85"/>
        <v>12.5</v>
      </c>
      <c r="CG107" s="21">
        <f t="shared" si="86"/>
        <v>-0.49306144334054913</v>
      </c>
      <c r="CH107" s="21"/>
      <c r="EE107" s="23"/>
    </row>
    <row r="108" spans="64:135">
      <c r="BL108" s="23"/>
      <c r="BZ108" s="17"/>
      <c r="CE108" s="83"/>
      <c r="CF108" s="21"/>
      <c r="CG108" s="88"/>
      <c r="CH108" s="88"/>
      <c r="CI108" s="89"/>
      <c r="EE108" s="23"/>
    </row>
    <row r="109" spans="64:135">
      <c r="BL109" s="23"/>
      <c r="BZ109" s="47"/>
      <c r="CE109" s="83"/>
      <c r="CF109" s="21"/>
      <c r="CG109" s="88"/>
      <c r="CH109" s="88"/>
      <c r="CI109" s="89"/>
      <c r="EE109" s="23"/>
    </row>
    <row r="110" spans="64:135">
      <c r="BL110" s="23"/>
      <c r="BZ110" s="47"/>
      <c r="CE110" s="83"/>
      <c r="CF110" s="21"/>
      <c r="CG110" s="88"/>
      <c r="CH110" s="88"/>
      <c r="CI110" s="89"/>
      <c r="EE110" s="23"/>
    </row>
    <row r="111" spans="64:135">
      <c r="BL111" s="23"/>
      <c r="BZ111" s="47"/>
      <c r="CE111" s="83"/>
      <c r="CF111" s="21"/>
      <c r="CG111" s="88"/>
      <c r="CH111" s="88"/>
      <c r="CI111" s="89"/>
    </row>
    <row r="112" spans="64:135">
      <c r="BL112" s="23"/>
      <c r="BZ112" s="47"/>
      <c r="CE112" s="83"/>
      <c r="CF112" s="21"/>
      <c r="CG112" s="88"/>
      <c r="CH112" s="88"/>
      <c r="CI112" s="89"/>
    </row>
    <row r="113" spans="64:124">
      <c r="BL113" s="23"/>
      <c r="BZ113" s="47"/>
      <c r="CE113" s="83"/>
      <c r="CF113" s="21"/>
      <c r="CG113" s="88"/>
      <c r="CH113" s="88"/>
      <c r="CI113" s="89"/>
    </row>
    <row r="114" spans="64:124">
      <c r="BL114" s="23"/>
      <c r="BZ114" s="47"/>
      <c r="CE114" s="83"/>
      <c r="CF114" s="21"/>
      <c r="CG114" s="88"/>
      <c r="CH114" s="88"/>
      <c r="CI114" s="89"/>
    </row>
    <row r="115" spans="64:124">
      <c r="BZ115" s="47"/>
      <c r="CE115" s="83"/>
      <c r="CF115" s="21"/>
      <c r="CG115" s="88"/>
      <c r="CH115" s="88"/>
      <c r="CI115" s="89"/>
      <c r="DR115" s="13"/>
      <c r="DS115" s="277"/>
      <c r="DT115" s="13"/>
    </row>
    <row r="116" spans="64:124">
      <c r="BZ116" s="47"/>
      <c r="CE116" s="83"/>
      <c r="CF116" s="21"/>
      <c r="CG116" s="88"/>
      <c r="CH116" s="88"/>
      <c r="CI116" s="89"/>
      <c r="DR116" s="13"/>
      <c r="DS116" s="277"/>
      <c r="DT116" s="13"/>
    </row>
    <row r="117" spans="64:124">
      <c r="BL117" s="23"/>
      <c r="BZ117" s="47"/>
      <c r="CE117" s="83"/>
      <c r="CF117" s="21"/>
      <c r="CG117" s="88"/>
      <c r="CH117" s="88"/>
      <c r="CI117" s="89"/>
      <c r="DR117" s="13"/>
      <c r="DS117" s="277"/>
      <c r="DT117" s="13"/>
    </row>
    <row r="118" spans="64:124">
      <c r="BL118" s="23"/>
      <c r="BZ118" s="47"/>
      <c r="DR118" s="13"/>
      <c r="DS118" s="277"/>
      <c r="DT118" s="13"/>
    </row>
    <row r="119" spans="64:124">
      <c r="BL119" s="23"/>
      <c r="BZ119" s="47"/>
      <c r="DR119" s="13"/>
      <c r="DS119" s="277"/>
      <c r="DT119" s="13"/>
    </row>
    <row r="120" spans="64:124">
      <c r="DR120" s="13"/>
      <c r="DS120" s="277"/>
      <c r="DT120" s="13"/>
    </row>
    <row r="121" spans="64:124">
      <c r="DR121" s="13"/>
      <c r="DS121" s="277"/>
      <c r="DT121" s="13"/>
    </row>
    <row r="122" spans="64:124">
      <c r="DD122" s="5"/>
      <c r="DR122" s="13"/>
      <c r="DS122" s="277"/>
      <c r="DT122" s="13"/>
    </row>
    <row r="123" spans="64:124">
      <c r="DD123" s="5"/>
      <c r="DR123" s="13"/>
      <c r="DS123" s="277"/>
      <c r="DT123" s="13"/>
    </row>
    <row r="124" spans="64:124">
      <c r="DD124" s="5"/>
      <c r="DR124" s="13"/>
      <c r="DS124" s="277"/>
      <c r="DT124" s="13"/>
    </row>
    <row r="125" spans="64:124">
      <c r="DD125" s="5"/>
      <c r="DR125" s="13"/>
      <c r="DS125" s="277"/>
      <c r="DT125" s="13"/>
    </row>
    <row r="126" spans="64:124">
      <c r="DD126" s="5"/>
      <c r="DR126" s="13"/>
      <c r="DS126" s="277"/>
      <c r="DT126" s="13"/>
    </row>
    <row r="127" spans="64:124">
      <c r="BZ127"/>
      <c r="DD127" s="5"/>
      <c r="DR127" s="13"/>
      <c r="DS127" s="277"/>
      <c r="DT127" s="13"/>
    </row>
    <row r="128" spans="64:124">
      <c r="BT128" s="16"/>
      <c r="BU128" s="16"/>
      <c r="BV128" s="16"/>
      <c r="BW128" s="16"/>
      <c r="BZ128"/>
      <c r="DD128" s="5"/>
      <c r="DR128" s="13"/>
      <c r="DS128" s="277"/>
      <c r="DT128" s="13"/>
    </row>
    <row r="129" spans="75:124">
      <c r="BW129" s="24"/>
      <c r="BZ129"/>
      <c r="DD129" s="5"/>
      <c r="DR129" s="13"/>
      <c r="DS129" s="277"/>
      <c r="DT129" s="13"/>
    </row>
    <row r="130" spans="75:124">
      <c r="BW130" s="24"/>
      <c r="BZ130"/>
      <c r="DD130" s="5"/>
      <c r="DR130" s="13"/>
      <c r="DS130" s="277"/>
      <c r="DT130" s="13"/>
    </row>
    <row r="131" spans="75:124">
      <c r="BW131" s="24"/>
      <c r="BZ131"/>
      <c r="DD131" s="5"/>
      <c r="DR131" s="13"/>
      <c r="DS131" s="277"/>
      <c r="DT131" s="13"/>
    </row>
    <row r="132" spans="75:124">
      <c r="BW132" s="24"/>
      <c r="BZ132"/>
      <c r="DD132" s="5"/>
      <c r="DR132" s="13"/>
      <c r="DS132" s="277"/>
      <c r="DT132" s="13"/>
    </row>
    <row r="133" spans="75:124">
      <c r="BW133" s="24"/>
      <c r="BZ133"/>
      <c r="DD133" s="5"/>
      <c r="DR133" s="13"/>
      <c r="DS133" s="277"/>
      <c r="DT133" s="13"/>
    </row>
    <row r="134" spans="75:124">
      <c r="BW134" s="24"/>
      <c r="BZ134"/>
      <c r="DD134" s="5"/>
      <c r="DR134" s="13"/>
      <c r="DS134" s="277"/>
      <c r="DT134" s="13"/>
    </row>
    <row r="135" spans="75:124">
      <c r="BW135" s="24"/>
      <c r="BZ135"/>
      <c r="DD135" s="5"/>
      <c r="DR135" s="13"/>
      <c r="DS135" s="277"/>
      <c r="DT135" s="13"/>
    </row>
    <row r="136" spans="75:124">
      <c r="BW136" s="24"/>
      <c r="BZ136"/>
      <c r="DD136" s="5"/>
      <c r="DR136" s="13"/>
      <c r="DS136" s="277"/>
      <c r="DT136" s="13"/>
    </row>
    <row r="137" spans="75:124">
      <c r="BW137" s="24"/>
      <c r="BZ137"/>
      <c r="DD137" s="5"/>
      <c r="DR137" s="13"/>
      <c r="DS137" s="277"/>
      <c r="DT137" s="13"/>
    </row>
    <row r="138" spans="75:124">
      <c r="BW138" s="24"/>
      <c r="BZ138"/>
      <c r="DD138" s="5"/>
      <c r="DR138" s="13"/>
      <c r="DS138" s="277"/>
      <c r="DT138" s="13"/>
    </row>
    <row r="139" spans="75:124">
      <c r="BW139" s="24"/>
      <c r="BZ139"/>
    </row>
    <row r="140" spans="75:124">
      <c r="BW140" s="24"/>
      <c r="BZ140"/>
    </row>
    <row r="141" spans="75:124">
      <c r="BX141"/>
      <c r="BY141"/>
      <c r="BZ141"/>
    </row>
    <row r="142" spans="75:124">
      <c r="BX142"/>
      <c r="BY142"/>
      <c r="BZ142"/>
    </row>
    <row r="143" spans="75:124">
      <c r="BX143"/>
      <c r="BY143"/>
      <c r="BZ143"/>
    </row>
    <row r="144" spans="75:124">
      <c r="BX144"/>
      <c r="BY144"/>
      <c r="BZ144"/>
    </row>
    <row r="145" spans="54:145">
      <c r="BB145" s="374"/>
      <c r="BX145"/>
      <c r="BY145"/>
      <c r="BZ145"/>
    </row>
    <row r="146" spans="54:145">
      <c r="BB146" s="374"/>
      <c r="BX146"/>
      <c r="BY146"/>
      <c r="BZ146"/>
    </row>
    <row r="147" spans="54:145" s="5" customFormat="1">
      <c r="BB147" s="374"/>
      <c r="BW147"/>
      <c r="BX147"/>
      <c r="BY147"/>
      <c r="CO147"/>
      <c r="CP147"/>
      <c r="CQ147"/>
      <c r="CR147"/>
      <c r="CS147"/>
      <c r="CT147"/>
      <c r="CU147"/>
      <c r="CV147"/>
      <c r="CW147"/>
      <c r="CX147"/>
      <c r="CY147"/>
      <c r="CZ147"/>
      <c r="DA147"/>
      <c r="DB147"/>
      <c r="DC147"/>
      <c r="DD147"/>
      <c r="DE147"/>
      <c r="DF147"/>
      <c r="DG147"/>
      <c r="DH147"/>
      <c r="DI147"/>
      <c r="DJ147"/>
      <c r="DK147"/>
      <c r="DL147"/>
      <c r="DM147"/>
      <c r="DN147"/>
      <c r="DO147"/>
      <c r="DP147"/>
      <c r="DQ147"/>
      <c r="DR147" s="14"/>
      <c r="DS147" s="46"/>
      <c r="DT147" s="14"/>
      <c r="DU147"/>
      <c r="DV147"/>
      <c r="DW147"/>
      <c r="DX147"/>
      <c r="DY147"/>
      <c r="DZ147"/>
      <c r="EA147"/>
      <c r="EB147"/>
      <c r="EC147"/>
      <c r="ED147"/>
      <c r="EE147"/>
      <c r="EF147"/>
      <c r="EG147"/>
      <c r="EH147"/>
      <c r="EI147"/>
      <c r="EJ147"/>
      <c r="EK147"/>
      <c r="EL147"/>
      <c r="EM147"/>
      <c r="EN147"/>
      <c r="EO147"/>
    </row>
    <row r="148" spans="54:145" s="5" customFormat="1">
      <c r="BB148" s="374"/>
      <c r="BO148"/>
      <c r="BP148"/>
      <c r="BQ148"/>
      <c r="BR148"/>
      <c r="BS148"/>
      <c r="BT148"/>
      <c r="BU148"/>
      <c r="BV148"/>
      <c r="BW148"/>
      <c r="BZ148" s="47"/>
      <c r="CA148"/>
      <c r="CB148"/>
      <c r="CC148"/>
      <c r="CD148"/>
      <c r="CE148" s="24"/>
      <c r="CF148" s="23"/>
      <c r="CG148"/>
      <c r="CH148"/>
      <c r="CO148"/>
      <c r="CP148"/>
      <c r="CQ148"/>
      <c r="CR148"/>
      <c r="CS148"/>
      <c r="CT148"/>
      <c r="CU148"/>
      <c r="CV148"/>
      <c r="CW148"/>
      <c r="CX148"/>
      <c r="CY148"/>
      <c r="CZ148"/>
      <c r="DA148"/>
      <c r="DB148"/>
      <c r="DC148"/>
      <c r="DD148"/>
      <c r="DE148"/>
      <c r="DF148"/>
      <c r="DG148"/>
      <c r="DH148"/>
      <c r="DI148"/>
      <c r="DJ148"/>
      <c r="DK148"/>
      <c r="DL148"/>
      <c r="DM148"/>
      <c r="DN148"/>
      <c r="DO148"/>
      <c r="DP148"/>
      <c r="DQ148"/>
      <c r="DR148" s="14"/>
      <c r="DS148" s="46"/>
      <c r="DT148" s="14"/>
      <c r="DU148"/>
      <c r="DV148"/>
      <c r="DW148"/>
      <c r="DX148"/>
      <c r="DY148"/>
      <c r="DZ148"/>
      <c r="EA148"/>
      <c r="EB148"/>
      <c r="EC148"/>
      <c r="ED148"/>
      <c r="EE148"/>
      <c r="EF148"/>
      <c r="EG148"/>
      <c r="EH148"/>
      <c r="EI148"/>
      <c r="EJ148"/>
      <c r="EK148"/>
      <c r="EL148"/>
      <c r="EM148"/>
      <c r="EN148"/>
      <c r="EO148"/>
    </row>
    <row r="149" spans="54:145" s="5" customFormat="1">
      <c r="BB149" s="374"/>
      <c r="BO149"/>
      <c r="BP149"/>
      <c r="BQ149"/>
      <c r="BR149"/>
      <c r="BS149"/>
      <c r="BT149"/>
      <c r="BU149"/>
      <c r="BV149"/>
      <c r="BW149"/>
      <c r="BZ149" s="47"/>
      <c r="CA149"/>
      <c r="CB149"/>
      <c r="CC149"/>
      <c r="CD149"/>
      <c r="CE149" s="24"/>
      <c r="CF149" s="23"/>
      <c r="CG149"/>
      <c r="CH149"/>
      <c r="CO149"/>
      <c r="CP149"/>
      <c r="CQ149"/>
      <c r="CR149"/>
      <c r="CS149"/>
      <c r="CT149"/>
      <c r="CU149"/>
      <c r="CV149"/>
      <c r="CW149"/>
      <c r="CX149"/>
      <c r="CY149"/>
      <c r="CZ149"/>
      <c r="DA149"/>
      <c r="DB149"/>
      <c r="DC149"/>
      <c r="DD149"/>
      <c r="DE149"/>
      <c r="DF149"/>
      <c r="DG149"/>
      <c r="DH149"/>
      <c r="DI149"/>
      <c r="DJ149"/>
      <c r="DK149"/>
      <c r="DL149"/>
      <c r="DM149"/>
      <c r="DN149"/>
      <c r="DO149"/>
      <c r="DP149"/>
      <c r="DQ149"/>
      <c r="DR149" s="14"/>
      <c r="DS149" s="46"/>
      <c r="DT149" s="14"/>
      <c r="DU149"/>
      <c r="DV149"/>
      <c r="DW149"/>
      <c r="DX149"/>
      <c r="DY149"/>
      <c r="DZ149"/>
      <c r="EA149"/>
      <c r="EB149"/>
      <c r="EC149"/>
      <c r="ED149"/>
      <c r="EE149"/>
      <c r="EF149"/>
      <c r="EG149"/>
      <c r="EH149"/>
      <c r="EI149"/>
      <c r="EJ149"/>
      <c r="EK149"/>
      <c r="EL149"/>
      <c r="EM149"/>
      <c r="EN149"/>
      <c r="EO149"/>
    </row>
    <row r="150" spans="54:145" s="5" customFormat="1">
      <c r="BB150" s="374"/>
      <c r="BO150"/>
      <c r="BP150"/>
      <c r="BQ150"/>
      <c r="BR150"/>
      <c r="BS150"/>
      <c r="BT150"/>
      <c r="BU150"/>
      <c r="BV150"/>
      <c r="BW150"/>
      <c r="BZ150" s="47"/>
      <c r="CA150"/>
      <c r="CB150"/>
      <c r="CC150"/>
      <c r="CD150"/>
      <c r="CE150" s="24"/>
      <c r="CF150" s="23"/>
      <c r="CG150"/>
      <c r="CH150"/>
      <c r="CO150"/>
      <c r="CP150"/>
      <c r="CQ150"/>
      <c r="CR150"/>
      <c r="CS150"/>
      <c r="CT150"/>
      <c r="CU150"/>
      <c r="CV150"/>
      <c r="CW150"/>
      <c r="CX150"/>
      <c r="CY150"/>
      <c r="CZ150"/>
      <c r="DA150"/>
      <c r="DB150"/>
      <c r="DC150"/>
      <c r="DD150"/>
      <c r="DE150"/>
      <c r="DF150"/>
      <c r="DG150"/>
      <c r="DH150"/>
      <c r="DI150"/>
      <c r="DJ150"/>
      <c r="DK150"/>
      <c r="DL150"/>
      <c r="DM150"/>
      <c r="DN150"/>
      <c r="DO150"/>
      <c r="DP150"/>
      <c r="DQ150"/>
      <c r="DR150" s="14"/>
      <c r="DS150" s="46"/>
      <c r="DT150" s="14"/>
      <c r="DU150"/>
      <c r="DV150"/>
      <c r="DW150"/>
      <c r="DX150"/>
      <c r="DY150"/>
      <c r="DZ150"/>
      <c r="EA150"/>
      <c r="EB150"/>
      <c r="EC150"/>
      <c r="ED150"/>
      <c r="EE150"/>
      <c r="EF150"/>
      <c r="EG150"/>
      <c r="EH150"/>
      <c r="EI150"/>
      <c r="EJ150"/>
      <c r="EK150"/>
      <c r="EL150"/>
      <c r="EM150"/>
      <c r="EN150"/>
      <c r="EO150"/>
    </row>
    <row r="151" spans="54:145" s="5" customFormat="1">
      <c r="BB151" s="374"/>
      <c r="BO151"/>
      <c r="BP151"/>
      <c r="BQ151"/>
      <c r="BR151"/>
      <c r="BS151"/>
      <c r="BT151"/>
      <c r="BU151"/>
      <c r="BV151"/>
      <c r="BW151"/>
      <c r="BZ151" s="47"/>
      <c r="CA151"/>
      <c r="CB151"/>
      <c r="CC151"/>
      <c r="CD151"/>
      <c r="CE151" s="24"/>
      <c r="CF151" s="23"/>
      <c r="CG151"/>
      <c r="CH151"/>
      <c r="CO151"/>
      <c r="CP151"/>
      <c r="CQ151"/>
      <c r="CR151"/>
      <c r="CS151"/>
      <c r="CT151"/>
      <c r="CU151"/>
      <c r="CV151"/>
      <c r="CW151"/>
      <c r="CX151"/>
      <c r="CY151"/>
      <c r="CZ151"/>
      <c r="DA151"/>
      <c r="DB151"/>
      <c r="DC151"/>
      <c r="DD151"/>
      <c r="DE151"/>
      <c r="DF151"/>
      <c r="DG151"/>
      <c r="DH151"/>
      <c r="DI151"/>
      <c r="DJ151"/>
      <c r="DK151"/>
      <c r="DL151"/>
      <c r="DM151"/>
      <c r="DN151"/>
      <c r="DO151"/>
      <c r="DP151"/>
      <c r="DQ151"/>
      <c r="DR151" s="14"/>
      <c r="DS151" s="46"/>
      <c r="DT151" s="14"/>
      <c r="DU151"/>
      <c r="DV151"/>
      <c r="DW151"/>
      <c r="DX151"/>
      <c r="DY151"/>
      <c r="DZ151"/>
      <c r="EA151"/>
      <c r="EB151"/>
      <c r="EC151"/>
      <c r="ED151"/>
      <c r="EE151"/>
      <c r="EF151"/>
      <c r="EG151"/>
      <c r="EH151"/>
      <c r="EI151"/>
      <c r="EJ151"/>
      <c r="EK151"/>
      <c r="EL151"/>
      <c r="EM151"/>
      <c r="EN151"/>
      <c r="EO151"/>
    </row>
    <row r="152" spans="54:145" s="5" customFormat="1">
      <c r="BB152" s="374"/>
      <c r="BO152"/>
      <c r="BP152"/>
      <c r="BQ152"/>
      <c r="BR152"/>
      <c r="BS152"/>
      <c r="BT152"/>
      <c r="BU152"/>
      <c r="BV152"/>
      <c r="BW152"/>
      <c r="BZ152" s="47"/>
      <c r="CA152"/>
      <c r="CB152"/>
      <c r="CC152"/>
      <c r="CD152"/>
      <c r="CE152" s="24"/>
      <c r="CF152" s="23"/>
      <c r="CG152"/>
      <c r="CH152"/>
      <c r="CO152"/>
      <c r="CP152"/>
      <c r="CQ152"/>
      <c r="CR152"/>
      <c r="CS152"/>
      <c r="CT152"/>
      <c r="CU152"/>
      <c r="CV152"/>
      <c r="CW152"/>
      <c r="CX152"/>
      <c r="CY152"/>
      <c r="CZ152"/>
      <c r="DA152"/>
      <c r="DB152"/>
      <c r="DC152"/>
      <c r="DD152"/>
      <c r="DE152"/>
      <c r="DF152"/>
      <c r="DG152"/>
      <c r="DH152"/>
      <c r="DI152"/>
      <c r="DJ152"/>
      <c r="DK152"/>
      <c r="DL152"/>
      <c r="DM152"/>
      <c r="DN152"/>
      <c r="DO152"/>
      <c r="DP152"/>
      <c r="DQ152"/>
      <c r="DR152" s="14"/>
      <c r="DS152" s="46"/>
      <c r="DT152" s="14"/>
      <c r="DU152"/>
      <c r="DV152"/>
      <c r="DW152"/>
      <c r="DX152"/>
      <c r="DY152"/>
      <c r="DZ152"/>
      <c r="EA152"/>
      <c r="EB152"/>
      <c r="EC152"/>
      <c r="ED152"/>
      <c r="EE152"/>
      <c r="EF152"/>
      <c r="EG152"/>
      <c r="EH152"/>
      <c r="EI152"/>
      <c r="EJ152"/>
      <c r="EK152"/>
      <c r="EL152"/>
      <c r="EM152"/>
      <c r="EN152"/>
      <c r="EO152"/>
    </row>
    <row r="153" spans="54:145" s="5" customFormat="1">
      <c r="BB153" s="374"/>
      <c r="BO153"/>
      <c r="BP153"/>
      <c r="BQ153"/>
      <c r="BR153"/>
      <c r="BS153"/>
      <c r="BT153"/>
      <c r="BU153"/>
      <c r="BV153"/>
      <c r="BW153"/>
      <c r="BZ153"/>
      <c r="CA153"/>
      <c r="CB153"/>
      <c r="CC153"/>
      <c r="CD153"/>
      <c r="CE153"/>
      <c r="CF153"/>
      <c r="CG153"/>
      <c r="CH153"/>
      <c r="CO153"/>
      <c r="CP153"/>
      <c r="CQ153"/>
      <c r="CR153"/>
      <c r="CS153"/>
      <c r="CT153"/>
      <c r="CU153"/>
      <c r="CV153"/>
      <c r="CW153"/>
      <c r="CX153"/>
      <c r="CY153"/>
      <c r="CZ153"/>
      <c r="DA153"/>
      <c r="DB153"/>
      <c r="DC153"/>
      <c r="DD153"/>
      <c r="DE153"/>
      <c r="DF153"/>
      <c r="DG153"/>
      <c r="DH153"/>
      <c r="DI153"/>
      <c r="DJ153"/>
      <c r="DK153"/>
      <c r="DL153"/>
      <c r="DM153"/>
      <c r="DN153"/>
      <c r="DO153"/>
      <c r="DP153"/>
      <c r="DQ153"/>
      <c r="DR153" s="14"/>
      <c r="DS153" s="46"/>
      <c r="DT153" s="14"/>
      <c r="DU153"/>
      <c r="DV153"/>
      <c r="DW153"/>
      <c r="DX153"/>
      <c r="DY153"/>
      <c r="DZ153"/>
      <c r="EA153"/>
      <c r="EB153"/>
      <c r="EC153"/>
      <c r="ED153"/>
      <c r="EE153"/>
      <c r="EF153"/>
      <c r="EG153"/>
      <c r="EH153"/>
      <c r="EI153"/>
      <c r="EJ153"/>
      <c r="EK153"/>
      <c r="EL153"/>
      <c r="EM153"/>
      <c r="EN153"/>
      <c r="EO153"/>
    </row>
    <row r="154" spans="54:145">
      <c r="BB154" s="374"/>
      <c r="BZ154"/>
      <c r="CA154"/>
      <c r="CB154"/>
      <c r="CC154"/>
      <c r="CD154"/>
      <c r="CE154"/>
      <c r="CF154"/>
      <c r="CG154"/>
      <c r="CH154"/>
    </row>
    <row r="155" spans="54:145">
      <c r="BB155" s="374"/>
      <c r="CA155"/>
      <c r="CB155"/>
      <c r="CC155"/>
      <c r="CD155"/>
      <c r="CE155" s="24"/>
      <c r="CF155" s="23"/>
      <c r="CG155"/>
      <c r="CH155"/>
    </row>
  </sheetData>
  <sheetProtection selectLockedCells="1"/>
  <mergeCells count="86">
    <mergeCell ref="EL2:EN2"/>
    <mergeCell ref="AE3:AI3"/>
    <mergeCell ref="EA3:EB3"/>
    <mergeCell ref="EE3:EG3"/>
    <mergeCell ref="BG4:BL4"/>
    <mergeCell ref="BM4:BN4"/>
    <mergeCell ref="AE2:AX2"/>
    <mergeCell ref="BO2:BT2"/>
    <mergeCell ref="BU2:CF2"/>
    <mergeCell ref="DE2:DF2"/>
    <mergeCell ref="DX2:DZ3"/>
    <mergeCell ref="EE2:EJ2"/>
    <mergeCell ref="BG18:BG19"/>
    <mergeCell ref="BH18:BL19"/>
    <mergeCell ref="ER4:ES4"/>
    <mergeCell ref="BH5:BJ5"/>
    <mergeCell ref="BN5:BN28"/>
    <mergeCell ref="BG6:BG7"/>
    <mergeCell ref="BH6:BL7"/>
    <mergeCell ref="BG8:BG9"/>
    <mergeCell ref="BH8:BL9"/>
    <mergeCell ref="BG10:BG11"/>
    <mergeCell ref="BH10:BL11"/>
    <mergeCell ref="BG12:BG13"/>
    <mergeCell ref="BH12:BL13"/>
    <mergeCell ref="BG14:BG15"/>
    <mergeCell ref="BH14:BL15"/>
    <mergeCell ref="BG16:BG17"/>
    <mergeCell ref="BH16:BL17"/>
    <mergeCell ref="BH26:BL27"/>
    <mergeCell ref="BG20:BG21"/>
    <mergeCell ref="BH20:BL21"/>
    <mergeCell ref="B21:C21"/>
    <mergeCell ref="AB21:AC21"/>
    <mergeCell ref="D22:AA22"/>
    <mergeCell ref="AB22:AC25"/>
    <mergeCell ref="BG22:BG23"/>
    <mergeCell ref="BH22:BL23"/>
    <mergeCell ref="BG24:BG25"/>
    <mergeCell ref="BH24:BL25"/>
    <mergeCell ref="AG25:AV25"/>
    <mergeCell ref="AW25:AX25"/>
    <mergeCell ref="AG26:AV26"/>
    <mergeCell ref="AW26:AX26"/>
    <mergeCell ref="BG26:BG27"/>
    <mergeCell ref="B31:M31"/>
    <mergeCell ref="B32:M33"/>
    <mergeCell ref="BG32:BM32"/>
    <mergeCell ref="BN32:BN33"/>
    <mergeCell ref="BD45:BE45"/>
    <mergeCell ref="B46:H46"/>
    <mergeCell ref="BA46:BB46"/>
    <mergeCell ref="C47:H47"/>
    <mergeCell ref="ED30:ED35"/>
    <mergeCell ref="B35:M35"/>
    <mergeCell ref="AG36:AY36"/>
    <mergeCell ref="B37:M37"/>
    <mergeCell ref="B38:M39"/>
    <mergeCell ref="AG39:AH39"/>
    <mergeCell ref="B34:M34"/>
    <mergeCell ref="BN30:BN31"/>
    <mergeCell ref="EA30:EA35"/>
    <mergeCell ref="EB30:EB35"/>
    <mergeCell ref="EC30:EC35"/>
    <mergeCell ref="AZ41:AZ42"/>
    <mergeCell ref="BA41:BJ43"/>
    <mergeCell ref="B42:M42"/>
    <mergeCell ref="AW42:AX42"/>
    <mergeCell ref="B43:M43"/>
    <mergeCell ref="AS43:AS44"/>
    <mergeCell ref="AT43:AX44"/>
    <mergeCell ref="B44:M44"/>
    <mergeCell ref="B40:M41"/>
    <mergeCell ref="AX41:AY41"/>
    <mergeCell ref="C48:H48"/>
    <mergeCell ref="BA70:BA79"/>
    <mergeCell ref="BX75:CE79"/>
    <mergeCell ref="BA87:BA92"/>
    <mergeCell ref="C50:H50"/>
    <mergeCell ref="C51:H51"/>
    <mergeCell ref="C52:J52"/>
    <mergeCell ref="AG56:AH56"/>
    <mergeCell ref="BY59:BY69"/>
    <mergeCell ref="BN63:BN65"/>
    <mergeCell ref="C49:H49"/>
    <mergeCell ref="BB49:BC49"/>
  </mergeCells>
  <pageMargins left="0.7" right="0.7" top="0.75" bottom="0" header="0.3" footer="0.3"/>
  <pageSetup scale="34" orientation="portrait" r:id="rId1"/>
  <colBreaks count="1" manualBreakCount="1">
    <brk id="66"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autoPageBreaks="0"/>
    <tabColor rgb="FF91A9A2"/>
  </sheetPr>
  <dimension ref="B1:AH512"/>
  <sheetViews>
    <sheetView topLeftCell="A1" zoomScale="90" zoomScaleNormal="80" workbookViewId="0" showGridLines="0">
      <selection activeCell="M31" sqref="M31:M55"/>
    </sheetView>
  </sheetViews>
  <sheetFormatPr defaultColWidth="10.449" defaultRowHeight="16"/>
  <cols>
    <col min="1" max="1" width="1.682" customWidth="1"/>
    <col min="2" max="2" width="95.409" customWidth="1"/>
    <col min="3" max="3" width="13.989" style="118" customWidth="1"/>
    <col min="4" max="4" width="14.662" style="117" customWidth="1"/>
    <col min="5" max="6" width="14.662" customWidth="1"/>
    <col min="7" max="7" width="10.786" style="118"/>
    <col min="8" max="8" width="14.662" bestFit="1" customWidth="1"/>
    <col min="9" max="9" width="14.662" style="118" customWidth="1"/>
    <col min="10" max="10" width="14.662" customWidth="1"/>
    <col min="11" max="11" width="13.482" style="248" customWidth="1"/>
    <col min="27" max="27" width="15.169" customWidth="1"/>
    <col min="31" max="31" width="15.842" customWidth="1"/>
    <col min="32" max="32" width="13.146" customWidth="1"/>
    <col min="33" max="33" width="21.069" bestFit="1" customWidth="1"/>
    <col min="34" max="34" width="21.742" bestFit="1" customWidth="1"/>
    <col min="35" max="36" width="34.722" bestFit="1" customWidth="1"/>
  </cols>
  <sheetData>
    <row r="1" spans="2:28" ht="16.44">
      <c r="B1" s="181"/>
      <c r="C1" s="140" t="s">
        <v>273</v>
      </c>
      <c r="D1" s="374"/>
      <c r="G1"/>
      <c r="I1"/>
      <c r="K1" s="241"/>
      <c r="N1" s="6" t="s">
        <v>274</v>
      </c>
    </row>
    <row r="2" spans="2:28" ht="16.44">
      <c r="C2" s="352" t="s">
        <v>275</v>
      </c>
      <c r="D2" s="140"/>
      <c r="G2"/>
      <c r="I2"/>
      <c r="J2" s="141" t="s">
        <v>276</v>
      </c>
      <c r="K2" s="241" t="s">
        <v>277</v>
      </c>
      <c r="N2">
        <v>2000</v>
      </c>
      <c r="O2" t="s">
        <v>278</v>
      </c>
    </row>
    <row r="3" spans="2:28" ht="16.44">
      <c r="C3" s="352" t="s">
        <v>279</v>
      </c>
      <c r="D3" s="140"/>
      <c r="G3"/>
      <c r="I3"/>
      <c r="K3" s="241"/>
      <c r="N3">
        <v>4500</v>
      </c>
      <c r="O3" t="s">
        <v>280</v>
      </c>
    </row>
    <row r="4" spans="2:28" ht="16.44">
      <c r="C4" s="354" t="s">
        <v>281</v>
      </c>
      <c r="D4" s="352" t="s">
        <v>282</v>
      </c>
      <c r="G4"/>
      <c r="I4"/>
      <c r="K4" s="241"/>
    </row>
    <row r="5" spans="2:28" ht="16.44">
      <c r="C5" s="354" t="s">
        <v>283</v>
      </c>
      <c r="D5" s="352" t="s">
        <v>284</v>
      </c>
      <c r="G5"/>
      <c r="I5"/>
      <c r="K5" s="241"/>
    </row>
    <row r="6" spans="2:28" ht="16.44">
      <c r="C6" s="354" t="s">
        <v>285</v>
      </c>
      <c r="D6" s="352" t="s">
        <v>286</v>
      </c>
      <c r="G6"/>
      <c r="I6"/>
      <c r="K6" s="241"/>
    </row>
    <row r="7" spans="2:28" ht="16.44">
      <c r="C7" s="354" t="s">
        <v>287</v>
      </c>
      <c r="D7" s="352" t="s">
        <v>288</v>
      </c>
      <c r="G7"/>
      <c r="I7"/>
      <c r="K7" s="241"/>
    </row>
    <row r="8" spans="2:28" ht="16.44">
      <c r="C8" s="354" t="s">
        <v>289</v>
      </c>
      <c r="D8" s="352" t="s">
        <v>290</v>
      </c>
      <c r="G8"/>
      <c r="I8"/>
      <c r="K8" s="241"/>
    </row>
    <row r="9" spans="2:28" ht="16.44">
      <c r="C9" s="354" t="s">
        <v>291</v>
      </c>
      <c r="D9" s="352" t="s">
        <v>292</v>
      </c>
      <c r="G9"/>
      <c r="I9"/>
      <c r="K9" s="241"/>
    </row>
    <row r="10" spans="2:28" ht="16.44">
      <c r="C10" s="354" t="s">
        <v>293</v>
      </c>
      <c r="D10" s="352" t="s">
        <v>294</v>
      </c>
      <c r="G10"/>
      <c r="I10"/>
      <c r="K10" s="241"/>
    </row>
    <row r="11" spans="2:28" ht="16.44">
      <c r="C11" s="354" t="s">
        <v>295</v>
      </c>
      <c r="D11" s="352" t="s">
        <v>296</v>
      </c>
      <c r="G11"/>
      <c r="I11"/>
      <c r="K11" s="241"/>
    </row>
    <row r="12" spans="2:28" ht="16.44">
      <c r="C12" s="354" t="s">
        <v>297</v>
      </c>
      <c r="D12" s="352" t="s">
        <v>298</v>
      </c>
      <c r="G12"/>
      <c r="I12"/>
      <c r="K12" s="241"/>
    </row>
    <row r="13" spans="2:28" ht="16.44">
      <c r="C13" s="352" t="s">
        <v>299</v>
      </c>
      <c r="D13" s="140"/>
      <c r="G13"/>
      <c r="I13"/>
      <c r="K13" s="241"/>
    </row>
    <row r="14" spans="2:28" ht="16.44">
      <c r="C14" s="352" t="s">
        <v>300</v>
      </c>
      <c r="D14" s="140"/>
      <c r="G14"/>
      <c r="I14"/>
      <c r="K14" s="241"/>
    </row>
    <row r="15" spans="2:28">
      <c r="C15" s="352" t="s">
        <v>301</v>
      </c>
      <c r="D15" s="374"/>
      <c r="G15"/>
      <c r="I15"/>
      <c r="K15" s="241"/>
    </row>
    <row r="16" spans="2:28" ht="16.44">
      <c r="C16" t="s">
        <v>302</v>
      </c>
      <c r="D16" s="374"/>
      <c r="G16"/>
      <c r="I16"/>
      <c r="K16" s="241"/>
      <c r="AB16" s="354"/>
    </row>
    <row r="17" spans="2:33" ht="16.44">
      <c r="C17" s="352" t="s">
        <v>303</v>
      </c>
      <c r="D17" s="374"/>
      <c r="G17"/>
      <c r="I17" s="54" t="s">
        <v>304</v>
      </c>
      <c r="J17" s="92">
        <v>1500</v>
      </c>
      <c r="K17" s="241" t="s">
        <v>305</v>
      </c>
      <c r="Q17" s="8">
        <f>J17*20/4500</f>
        <v>6.666666666666667</v>
      </c>
      <c r="R17" t="s">
        <v>306</v>
      </c>
      <c r="AB17" s="354"/>
    </row>
    <row r="18" spans="2:33" ht="16.44">
      <c r="C18" s="352" t="s">
        <v>307</v>
      </c>
      <c r="D18" s="374"/>
      <c r="G18"/>
      <c r="I18"/>
      <c r="K18" s="241"/>
      <c r="L18" s="54" t="s">
        <v>308</v>
      </c>
      <c r="AB18" s="354"/>
    </row>
    <row r="19" spans="2:33" ht="16.44">
      <c r="C19" s="352" t="s">
        <v>309</v>
      </c>
      <c r="D19" s="374"/>
      <c r="G19"/>
      <c r="I19"/>
      <c r="K19" s="241"/>
      <c r="AB19" s="354"/>
    </row>
    <row r="20" spans="2:33" ht="16.19" customHeight="1">
      <c r="C20" s="352" t="s">
        <v>310</v>
      </c>
      <c r="D20" s="374"/>
      <c r="G20" s="124">
        <f>J17*35</f>
        <v>52500</v>
      </c>
      <c r="H20" t="s">
        <v>311</v>
      </c>
      <c r="I20"/>
      <c r="K20" s="242">
        <f>G20/2000</f>
        <v>26.25</v>
      </c>
      <c r="L20" t="s">
        <v>312</v>
      </c>
      <c r="AB20" s="354"/>
    </row>
    <row r="21" spans="2:33" ht="16.19" customHeight="1">
      <c r="B21" s="392" t="s">
        <v>313</v>
      </c>
      <c r="C21" s="352" t="s">
        <v>314</v>
      </c>
      <c r="D21" s="374"/>
      <c r="G21" s="143"/>
      <c r="I21"/>
      <c r="K21" s="243"/>
      <c r="AB21" s="354"/>
    </row>
    <row r="22" spans="2:33" ht="16.19" customHeight="1">
      <c r="B22" s="392"/>
      <c r="C22" s="144" t="s">
        <v>315</v>
      </c>
      <c r="D22" s="374"/>
      <c r="G22" s="143"/>
      <c r="I22"/>
      <c r="K22" s="243"/>
      <c r="AB22" s="354"/>
    </row>
    <row r="23" spans="2:33" ht="16.19" customHeight="1">
      <c r="B23" s="392"/>
      <c r="C23" s="140" t="s">
        <v>316</v>
      </c>
      <c r="D23" s="374"/>
      <c r="G23" s="143"/>
      <c r="I23"/>
      <c r="K23" s="241"/>
      <c r="AB23" s="354"/>
    </row>
    <row r="24" spans="2:33" ht="16.19" customHeight="1">
      <c r="B24" s="392"/>
      <c r="C24" s="352" t="s">
        <v>317</v>
      </c>
      <c r="D24" s="374"/>
      <c r="G24" s="143"/>
      <c r="I24"/>
      <c r="K24" s="241"/>
      <c r="AB24" s="354"/>
    </row>
    <row r="25" spans="2:33" ht="16.44">
      <c r="B25" s="392"/>
      <c r="C25" s="223" t="s">
        <v>318</v>
      </c>
      <c r="D25" s="374"/>
      <c r="G25" s="143"/>
      <c r="I25"/>
      <c r="K25" s="241"/>
      <c r="N25" s="145"/>
      <c r="O25" t="s">
        <v>14</v>
      </c>
      <c r="AB25" s="354"/>
    </row>
    <row r="26" spans="2:33" ht="16.44">
      <c r="B26" s="392"/>
      <c r="C26" s="352"/>
      <c r="D26" s="374"/>
      <c r="G26" s="143"/>
      <c r="I26"/>
      <c r="K26" s="241"/>
      <c r="N26" s="145"/>
      <c r="O26" s="145"/>
      <c r="AB26" s="354"/>
      <c r="AC26" s="6"/>
    </row>
    <row r="27" spans="2:33" ht="16.44">
      <c r="B27" s="472"/>
      <c r="C27" s="354"/>
      <c r="D27" s="374"/>
      <c r="G27"/>
      <c r="I27"/>
      <c r="K27" s="241"/>
      <c r="AB27" s="354"/>
    </row>
    <row r="28" spans="2:33">
      <c r="B28" s="471" t="s">
        <v>319</v>
      </c>
      <c r="C28" s="471"/>
      <c r="D28" s="471"/>
      <c r="E28" s="471"/>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1"/>
    </row>
    <row r="29" spans="2:33">
      <c r="B29" s="251"/>
      <c r="C29" s="251"/>
      <c r="D29" s="252"/>
      <c r="E29" s="251"/>
      <c r="F29" s="251"/>
      <c r="G29" s="251"/>
      <c r="H29" s="19"/>
      <c r="I29" s="253"/>
      <c r="K29" s="241"/>
    </row>
    <row r="30" spans="2:33" ht="239.06">
      <c r="B30" s="220" t="s">
        <v>320</v>
      </c>
      <c r="C30" s="367" t="s">
        <v>321</v>
      </c>
      <c r="D30" s="367" t="s">
        <v>322</v>
      </c>
      <c r="E30" s="367" t="s">
        <v>323</v>
      </c>
      <c r="F30" s="367" t="s">
        <v>324</v>
      </c>
      <c r="G30" s="367" t="s">
        <v>325</v>
      </c>
      <c r="H30" s="147" t="s">
        <v>326</v>
      </c>
      <c r="I30" s="148" t="s">
        <v>327</v>
      </c>
      <c r="J30" s="149" t="s">
        <v>328</v>
      </c>
      <c r="K30" s="244" t="s">
        <v>329</v>
      </c>
      <c r="M30" s="148" t="s">
        <v>330</v>
      </c>
      <c r="N30" s="367" t="s">
        <v>331</v>
      </c>
      <c r="O30" s="367" t="s">
        <v>332</v>
      </c>
      <c r="R30" s="150"/>
      <c r="S30" s="150"/>
      <c r="T30" s="150"/>
      <c r="U30" s="150"/>
      <c r="AG30" s="258"/>
    </row>
    <row r="31" spans="2:33" ht="16" customHeight="1">
      <c r="B31" s="474"/>
      <c r="C31" s="92">
        <v>1</v>
      </c>
      <c r="D31" s="92"/>
      <c r="E31" s="2">
        <v>40544</v>
      </c>
      <c r="F31" s="2">
        <v>42917</v>
      </c>
      <c r="G31" s="92">
        <v>0</v>
      </c>
      <c r="H31" s="151">
        <f t="shared" ref="H31:H54" si="0">N31/20</f>
        <v>0</v>
      </c>
      <c r="I31" s="92">
        <v>8</v>
      </c>
      <c r="J31" s="376"/>
      <c r="K31" s="245">
        <v>0</v>
      </c>
      <c r="M31" s="376">
        <f t="shared" ref="M31:M55" si="1">I31*$N$2</f>
        <v>16000</v>
      </c>
      <c r="N31" s="376">
        <f t="shared" ref="N31:N54" si="2">G31*$N$3</f>
        <v>0</v>
      </c>
      <c r="O31" s="153">
        <f t="shared" ref="O31:O36" si="3">K31*100</f>
        <v>0</v>
      </c>
    </row>
    <row r="32" spans="2:33" ht="16" customHeight="1">
      <c r="B32" s="474"/>
      <c r="C32" s="92">
        <v>1</v>
      </c>
      <c r="D32" s="92"/>
      <c r="E32" s="2">
        <v>40558</v>
      </c>
      <c r="F32" s="2">
        <v>42931</v>
      </c>
      <c r="G32" s="92">
        <v>0.25</v>
      </c>
      <c r="H32" s="151">
        <f t="shared" si="0"/>
        <v>56.25</v>
      </c>
      <c r="I32" s="92">
        <v>8</v>
      </c>
      <c r="J32" s="151">
        <f t="shared" ref="J32:J54" si="4">(M32-M31)/15</f>
        <v>0</v>
      </c>
      <c r="K32" s="245">
        <v>0</v>
      </c>
      <c r="M32" s="376">
        <f t="shared" si="1"/>
        <v>16000</v>
      </c>
      <c r="N32" s="376">
        <f t="shared" si="2"/>
        <v>1125</v>
      </c>
      <c r="O32" s="153">
        <f t="shared" si="3"/>
        <v>0</v>
      </c>
    </row>
    <row r="33" spans="2:15" ht="16" customHeight="1">
      <c r="B33" s="474"/>
      <c r="C33" s="92">
        <v>1</v>
      </c>
      <c r="D33" s="92"/>
      <c r="E33" s="2">
        <v>40575</v>
      </c>
      <c r="F33" s="2">
        <v>42948</v>
      </c>
      <c r="G33" s="92">
        <v>0.33</v>
      </c>
      <c r="H33" s="151">
        <f t="shared" si="0"/>
        <v>74.25</v>
      </c>
      <c r="I33" s="92">
        <v>8</v>
      </c>
      <c r="J33" s="151">
        <f t="shared" si="4"/>
        <v>0</v>
      </c>
      <c r="K33" s="245">
        <v>0</v>
      </c>
      <c r="M33" s="376">
        <f t="shared" si="1"/>
        <v>16000</v>
      </c>
      <c r="N33" s="376">
        <f t="shared" si="2"/>
        <v>1485</v>
      </c>
      <c r="O33" s="153">
        <f t="shared" si="3"/>
        <v>0</v>
      </c>
    </row>
    <row r="34" spans="2:15" ht="16" customHeight="1">
      <c r="B34" s="474"/>
      <c r="C34" s="92">
        <v>1</v>
      </c>
      <c r="D34" s="92"/>
      <c r="E34" s="2">
        <v>40589</v>
      </c>
      <c r="F34" s="2">
        <v>42962</v>
      </c>
      <c r="G34" s="92">
        <v>0.75</v>
      </c>
      <c r="H34" s="151">
        <f t="shared" si="0"/>
        <v>168.75</v>
      </c>
      <c r="I34" s="92">
        <v>7</v>
      </c>
      <c r="J34" s="151">
        <f t="shared" si="4"/>
        <v>-133.33333333333334</v>
      </c>
      <c r="K34" s="245">
        <v>0</v>
      </c>
      <c r="M34" s="376">
        <f t="shared" si="1"/>
        <v>14000</v>
      </c>
      <c r="N34" s="376">
        <f t="shared" si="2"/>
        <v>3375</v>
      </c>
      <c r="O34" s="153">
        <f t="shared" si="3"/>
        <v>0</v>
      </c>
    </row>
    <row r="35" spans="2:15" ht="16" customHeight="1">
      <c r="B35" s="474"/>
      <c r="C35" s="92">
        <v>1</v>
      </c>
      <c r="D35" s="92"/>
      <c r="E35" s="2">
        <v>40603</v>
      </c>
      <c r="F35" s="2">
        <v>42979</v>
      </c>
      <c r="G35" s="92">
        <v>1</v>
      </c>
      <c r="H35" s="151">
        <f t="shared" si="0"/>
        <v>225</v>
      </c>
      <c r="I35" s="92">
        <v>7</v>
      </c>
      <c r="J35" s="151">
        <f t="shared" si="4"/>
        <v>0</v>
      </c>
      <c r="K35" s="245">
        <v>0</v>
      </c>
      <c r="M35" s="376">
        <f t="shared" si="1"/>
        <v>14000</v>
      </c>
      <c r="N35" s="376">
        <f t="shared" si="2"/>
        <v>4500</v>
      </c>
      <c r="O35" s="153">
        <f t="shared" si="3"/>
        <v>0</v>
      </c>
    </row>
    <row r="36" spans="2:15" ht="16" customHeight="1">
      <c r="B36" s="474"/>
      <c r="C36" s="92">
        <v>1</v>
      </c>
      <c r="D36" s="92"/>
      <c r="E36" s="2">
        <v>40617</v>
      </c>
      <c r="F36" s="2">
        <v>42993</v>
      </c>
      <c r="G36" s="92">
        <v>2</v>
      </c>
      <c r="H36" s="151">
        <f t="shared" si="0"/>
        <v>450</v>
      </c>
      <c r="I36" s="92">
        <v>6</v>
      </c>
      <c r="J36" s="151">
        <f t="shared" si="4"/>
        <v>-133.33333333333334</v>
      </c>
      <c r="K36" s="245">
        <v>0</v>
      </c>
      <c r="M36" s="376">
        <f t="shared" si="1"/>
        <v>12000</v>
      </c>
      <c r="N36" s="376">
        <f t="shared" si="2"/>
        <v>9000</v>
      </c>
      <c r="O36" s="153">
        <f t="shared" si="3"/>
        <v>0</v>
      </c>
    </row>
    <row r="37" spans="2:15" ht="16" customHeight="1">
      <c r="B37" s="474"/>
      <c r="C37" s="92"/>
      <c r="D37" s="92">
        <v>1</v>
      </c>
      <c r="E37" s="2">
        <v>40634</v>
      </c>
      <c r="F37" s="2">
        <v>43009</v>
      </c>
      <c r="G37" s="92">
        <v>3</v>
      </c>
      <c r="H37" s="151">
        <f t="shared" si="0"/>
        <v>675</v>
      </c>
      <c r="I37" s="92">
        <v>6</v>
      </c>
      <c r="J37" s="151">
        <f t="shared" si="4"/>
        <v>0</v>
      </c>
      <c r="K37" s="245">
        <v>0.03</v>
      </c>
      <c r="M37" s="376">
        <f t="shared" si="1"/>
        <v>12000</v>
      </c>
      <c r="N37" s="376">
        <f t="shared" si="2"/>
        <v>13500</v>
      </c>
      <c r="O37" s="153">
        <v>0</v>
      </c>
    </row>
    <row r="38" spans="2:15" ht="16" customHeight="1">
      <c r="B38" s="474"/>
      <c r="C38" s="92"/>
      <c r="D38" s="92">
        <v>1</v>
      </c>
      <c r="E38" s="2">
        <v>40648</v>
      </c>
      <c r="F38" s="2">
        <v>43023</v>
      </c>
      <c r="G38" s="92">
        <v>5</v>
      </c>
      <c r="H38" s="151">
        <f t="shared" si="0"/>
        <v>1125</v>
      </c>
      <c r="I38" s="92">
        <v>8</v>
      </c>
      <c r="J38" s="151">
        <f t="shared" si="4"/>
        <v>266.66666666666669</v>
      </c>
      <c r="K38" s="245">
        <v>0.06</v>
      </c>
      <c r="M38" s="376">
        <f t="shared" si="1"/>
        <v>16000</v>
      </c>
      <c r="N38" s="376">
        <f t="shared" si="2"/>
        <v>22500</v>
      </c>
      <c r="O38" s="153">
        <v>0</v>
      </c>
    </row>
    <row r="39" spans="2:15" ht="16" customHeight="1">
      <c r="B39" s="474"/>
      <c r="C39" s="92"/>
      <c r="D39" s="92">
        <v>1</v>
      </c>
      <c r="E39" s="2">
        <v>40664</v>
      </c>
      <c r="F39" s="2">
        <v>43040</v>
      </c>
      <c r="G39" s="92">
        <v>6</v>
      </c>
      <c r="H39" s="151">
        <f t="shared" si="0"/>
        <v>1350</v>
      </c>
      <c r="I39" s="92">
        <v>11</v>
      </c>
      <c r="J39" s="151">
        <f t="shared" si="4"/>
        <v>400</v>
      </c>
      <c r="K39" s="245">
        <v>0.06</v>
      </c>
      <c r="M39" s="376">
        <f t="shared" si="1"/>
        <v>22000</v>
      </c>
      <c r="N39" s="376">
        <f t="shared" si="2"/>
        <v>27000</v>
      </c>
      <c r="O39" s="153">
        <v>5</v>
      </c>
    </row>
    <row r="40" spans="2:15" ht="16" customHeight="1">
      <c r="B40" s="474"/>
      <c r="C40" s="92"/>
      <c r="D40" s="92">
        <v>1</v>
      </c>
      <c r="E40" s="2">
        <v>40678</v>
      </c>
      <c r="F40" s="2">
        <v>43054</v>
      </c>
      <c r="G40" s="92">
        <v>6.5</v>
      </c>
      <c r="H40" s="151">
        <f t="shared" si="0"/>
        <v>1462.5</v>
      </c>
      <c r="I40" s="92">
        <v>15</v>
      </c>
      <c r="J40" s="151">
        <f t="shared" si="4"/>
        <v>533.33333333333337</v>
      </c>
      <c r="K40" s="245">
        <v>0.06</v>
      </c>
      <c r="M40" s="376">
        <f t="shared" si="1"/>
        <v>30000</v>
      </c>
      <c r="N40" s="376">
        <f t="shared" si="2"/>
        <v>29250</v>
      </c>
      <c r="O40" s="153">
        <v>5</v>
      </c>
    </row>
    <row r="41" spans="2:15" ht="16" customHeight="1">
      <c r="B41" s="474"/>
      <c r="C41" s="92"/>
      <c r="D41" s="92">
        <v>1</v>
      </c>
      <c r="E41" s="2">
        <v>40695</v>
      </c>
      <c r="F41" s="2">
        <v>43070</v>
      </c>
      <c r="G41" s="92">
        <v>7</v>
      </c>
      <c r="H41" s="151">
        <f t="shared" si="0"/>
        <v>1575</v>
      </c>
      <c r="I41" s="92">
        <v>19</v>
      </c>
      <c r="J41" s="151">
        <f t="shared" si="4"/>
        <v>533.33333333333337</v>
      </c>
      <c r="K41" s="245">
        <v>0.05</v>
      </c>
      <c r="M41" s="376">
        <f t="shared" si="1"/>
        <v>38000</v>
      </c>
      <c r="N41" s="376">
        <f t="shared" si="2"/>
        <v>31500</v>
      </c>
      <c r="O41" s="153">
        <f t="shared" ref="O41:O54" si="5">K41*100</f>
        <v>5</v>
      </c>
    </row>
    <row r="42" spans="2:15" ht="16" customHeight="1">
      <c r="B42" s="474"/>
      <c r="C42" s="92"/>
      <c r="D42" s="92">
        <v>1</v>
      </c>
      <c r="E42" s="2">
        <v>40709</v>
      </c>
      <c r="F42" s="2">
        <v>43084</v>
      </c>
      <c r="G42" s="92">
        <v>6.5</v>
      </c>
      <c r="H42" s="151">
        <f t="shared" si="0"/>
        <v>1462.5</v>
      </c>
      <c r="I42" s="92">
        <v>22</v>
      </c>
      <c r="J42" s="151">
        <f t="shared" si="4"/>
        <v>400</v>
      </c>
      <c r="K42" s="245">
        <v>0.05</v>
      </c>
      <c r="M42" s="376">
        <f t="shared" si="1"/>
        <v>44000</v>
      </c>
      <c r="N42" s="376">
        <f t="shared" si="2"/>
        <v>29250</v>
      </c>
      <c r="O42" s="153">
        <f t="shared" si="5"/>
        <v>5</v>
      </c>
    </row>
    <row r="43" spans="2:15" ht="16" customHeight="1">
      <c r="B43" s="474"/>
      <c r="C43" s="92"/>
      <c r="D43" s="92">
        <v>1</v>
      </c>
      <c r="E43" s="2">
        <v>40725</v>
      </c>
      <c r="F43" s="2">
        <v>43101</v>
      </c>
      <c r="G43" s="92">
        <v>6</v>
      </c>
      <c r="H43" s="151">
        <f t="shared" si="0"/>
        <v>1350</v>
      </c>
      <c r="I43" s="92">
        <v>24</v>
      </c>
      <c r="J43" s="151">
        <f t="shared" si="4"/>
        <v>266.66666666666669</v>
      </c>
      <c r="K43" s="245">
        <v>0.05</v>
      </c>
      <c r="M43" s="376">
        <f t="shared" si="1"/>
        <v>48000</v>
      </c>
      <c r="N43" s="376">
        <f t="shared" si="2"/>
        <v>27000</v>
      </c>
      <c r="O43" s="153">
        <f t="shared" si="5"/>
        <v>5</v>
      </c>
    </row>
    <row r="44" spans="2:15" ht="16" customHeight="1">
      <c r="B44" s="474"/>
      <c r="C44" s="92"/>
      <c r="D44" s="92">
        <v>1</v>
      </c>
      <c r="E44" s="2">
        <v>40739</v>
      </c>
      <c r="F44" s="2">
        <v>43115</v>
      </c>
      <c r="G44" s="92">
        <v>5</v>
      </c>
      <c r="H44" s="151">
        <f t="shared" si="0"/>
        <v>1125</v>
      </c>
      <c r="I44" s="92">
        <v>25</v>
      </c>
      <c r="J44" s="151">
        <f t="shared" si="4"/>
        <v>133.33333333333334</v>
      </c>
      <c r="K44" s="245">
        <v>0.05</v>
      </c>
      <c r="M44" s="376">
        <f t="shared" si="1"/>
        <v>50000</v>
      </c>
      <c r="N44" s="376">
        <f t="shared" si="2"/>
        <v>22500</v>
      </c>
      <c r="O44" s="153">
        <f t="shared" si="5"/>
        <v>5</v>
      </c>
    </row>
    <row r="45" spans="2:15" ht="16" customHeight="1">
      <c r="B45" s="474"/>
      <c r="C45" s="92"/>
      <c r="D45" s="92">
        <v>1</v>
      </c>
      <c r="E45" s="2">
        <v>40756</v>
      </c>
      <c r="F45" s="2">
        <v>43132</v>
      </c>
      <c r="G45" s="92">
        <v>4.5</v>
      </c>
      <c r="H45" s="151">
        <f t="shared" si="0"/>
        <v>1012.5</v>
      </c>
      <c r="I45" s="92">
        <v>25</v>
      </c>
      <c r="J45" s="151">
        <f t="shared" si="4"/>
        <v>0</v>
      </c>
      <c r="K45" s="245">
        <v>0.05</v>
      </c>
      <c r="M45" s="376">
        <f t="shared" si="1"/>
        <v>50000</v>
      </c>
      <c r="N45" s="376">
        <f t="shared" si="2"/>
        <v>20250</v>
      </c>
      <c r="O45" s="153">
        <f t="shared" si="5"/>
        <v>5</v>
      </c>
    </row>
    <row r="46" spans="2:15" ht="16" customHeight="1">
      <c r="B46" s="474"/>
      <c r="C46" s="92"/>
      <c r="D46" s="92">
        <v>1</v>
      </c>
      <c r="E46" s="2">
        <v>40770</v>
      </c>
      <c r="F46" s="2">
        <v>43146</v>
      </c>
      <c r="G46" s="92">
        <v>4</v>
      </c>
      <c r="H46" s="151">
        <f t="shared" si="0"/>
        <v>900</v>
      </c>
      <c r="I46" s="92">
        <v>22</v>
      </c>
      <c r="J46" s="151">
        <f t="shared" si="4"/>
        <v>-400</v>
      </c>
      <c r="K46" s="245">
        <v>0.05</v>
      </c>
      <c r="M46" s="376">
        <f t="shared" si="1"/>
        <v>44000</v>
      </c>
      <c r="N46" s="376">
        <f t="shared" si="2"/>
        <v>18000</v>
      </c>
      <c r="O46" s="153">
        <f t="shared" si="5"/>
        <v>5</v>
      </c>
    </row>
    <row r="47" spans="2:15" ht="16" customHeight="1">
      <c r="B47" s="474"/>
      <c r="C47" s="92"/>
      <c r="D47" s="92"/>
      <c r="E47" s="2">
        <v>40787</v>
      </c>
      <c r="F47" s="2">
        <v>43160</v>
      </c>
      <c r="G47" s="92">
        <v>3.5</v>
      </c>
      <c r="H47" s="151">
        <f t="shared" si="0"/>
        <v>787.5</v>
      </c>
      <c r="I47" s="92">
        <v>19</v>
      </c>
      <c r="J47" s="151">
        <f t="shared" si="4"/>
        <v>-400</v>
      </c>
      <c r="K47" s="245">
        <v>0.02</v>
      </c>
      <c r="M47" s="376">
        <f t="shared" si="1"/>
        <v>38000</v>
      </c>
      <c r="N47" s="376">
        <f t="shared" si="2"/>
        <v>15750</v>
      </c>
      <c r="O47" s="153">
        <f t="shared" si="5"/>
        <v>2</v>
      </c>
    </row>
    <row r="48" spans="2:15" ht="16" customHeight="1">
      <c r="B48" s="474"/>
      <c r="C48" s="92"/>
      <c r="D48" s="92"/>
      <c r="E48" s="2">
        <v>40801</v>
      </c>
      <c r="F48" s="2">
        <v>43174</v>
      </c>
      <c r="G48" s="92">
        <v>4</v>
      </c>
      <c r="H48" s="151">
        <f t="shared" si="0"/>
        <v>900</v>
      </c>
      <c r="I48" s="92">
        <v>16</v>
      </c>
      <c r="J48" s="151">
        <f t="shared" si="4"/>
        <v>-400</v>
      </c>
      <c r="K48" s="245">
        <v>0.02</v>
      </c>
      <c r="M48" s="376">
        <f t="shared" si="1"/>
        <v>32000</v>
      </c>
      <c r="N48" s="376">
        <f t="shared" si="2"/>
        <v>18000</v>
      </c>
      <c r="O48" s="153">
        <f t="shared" si="5"/>
        <v>2</v>
      </c>
    </row>
    <row r="49" spans="2:34" ht="16" customHeight="1">
      <c r="B49" s="474"/>
      <c r="C49" s="92">
        <v>1</v>
      </c>
      <c r="D49" s="92"/>
      <c r="E49" s="2">
        <v>40817</v>
      </c>
      <c r="F49" s="2">
        <v>43191</v>
      </c>
      <c r="G49" s="92">
        <v>2</v>
      </c>
      <c r="H49" s="151">
        <f t="shared" si="0"/>
        <v>450</v>
      </c>
      <c r="I49" s="92">
        <v>15</v>
      </c>
      <c r="J49" s="151">
        <f t="shared" si="4"/>
        <v>-133.33333333333334</v>
      </c>
      <c r="K49" s="245">
        <v>0</v>
      </c>
      <c r="M49" s="376">
        <f t="shared" si="1"/>
        <v>30000</v>
      </c>
      <c r="N49" s="376">
        <f t="shared" si="2"/>
        <v>9000</v>
      </c>
      <c r="O49" s="153">
        <f t="shared" si="5"/>
        <v>0</v>
      </c>
    </row>
    <row r="50" spans="2:34" ht="16" customHeight="1">
      <c r="B50" s="474"/>
      <c r="C50" s="92">
        <v>1</v>
      </c>
      <c r="D50" s="92"/>
      <c r="E50" s="2">
        <v>40831</v>
      </c>
      <c r="F50" s="2">
        <v>43205</v>
      </c>
      <c r="G50" s="92">
        <v>0.5</v>
      </c>
      <c r="H50" s="151">
        <f t="shared" si="0"/>
        <v>112.5</v>
      </c>
      <c r="I50" s="92">
        <v>12</v>
      </c>
      <c r="J50" s="151">
        <f t="shared" si="4"/>
        <v>-400</v>
      </c>
      <c r="K50" s="245">
        <v>0</v>
      </c>
      <c r="M50" s="376">
        <f t="shared" si="1"/>
        <v>24000</v>
      </c>
      <c r="N50" s="376">
        <f t="shared" si="2"/>
        <v>2250</v>
      </c>
      <c r="O50" s="153">
        <f t="shared" si="5"/>
        <v>0</v>
      </c>
    </row>
    <row r="51" spans="2:34" ht="16" customHeight="1">
      <c r="B51" s="474"/>
      <c r="C51" s="92">
        <v>1</v>
      </c>
      <c r="D51" s="92"/>
      <c r="E51" s="2">
        <v>40848</v>
      </c>
      <c r="F51" s="2">
        <v>43221</v>
      </c>
      <c r="G51" s="92">
        <v>0.25</v>
      </c>
      <c r="H51" s="151">
        <f t="shared" si="0"/>
        <v>56.25</v>
      </c>
      <c r="I51" s="92">
        <v>9</v>
      </c>
      <c r="J51" s="151">
        <f t="shared" si="4"/>
        <v>-400</v>
      </c>
      <c r="K51" s="245">
        <v>0</v>
      </c>
      <c r="M51" s="376">
        <f t="shared" si="1"/>
        <v>18000</v>
      </c>
      <c r="N51" s="376">
        <f t="shared" si="2"/>
        <v>1125</v>
      </c>
      <c r="O51" s="153">
        <f t="shared" si="5"/>
        <v>0</v>
      </c>
    </row>
    <row r="52" spans="2:34" ht="16" customHeight="1">
      <c r="B52" s="474"/>
      <c r="C52" s="92">
        <v>1</v>
      </c>
      <c r="D52" s="92"/>
      <c r="E52" s="2">
        <v>40862</v>
      </c>
      <c r="F52" s="2">
        <v>43235</v>
      </c>
      <c r="G52" s="92">
        <v>0.125</v>
      </c>
      <c r="H52" s="151">
        <f t="shared" si="0"/>
        <v>28.125</v>
      </c>
      <c r="I52" s="92">
        <v>8.5</v>
      </c>
      <c r="J52" s="151">
        <f t="shared" si="4"/>
        <v>-66.666666666666671</v>
      </c>
      <c r="K52" s="245">
        <v>0</v>
      </c>
      <c r="M52" s="376">
        <f t="shared" si="1"/>
        <v>17000</v>
      </c>
      <c r="N52" s="376">
        <f t="shared" si="2"/>
        <v>562.5</v>
      </c>
      <c r="O52" s="153">
        <f t="shared" si="5"/>
        <v>0</v>
      </c>
    </row>
    <row r="53" spans="2:34" ht="16" customHeight="1">
      <c r="B53" s="474"/>
      <c r="C53" s="92">
        <v>1</v>
      </c>
      <c r="D53" s="92"/>
      <c r="E53" s="2">
        <v>40878</v>
      </c>
      <c r="F53" s="2">
        <v>43252</v>
      </c>
      <c r="G53" s="92">
        <v>0.1</v>
      </c>
      <c r="H53" s="151">
        <f t="shared" si="0"/>
        <v>22.5</v>
      </c>
      <c r="I53" s="92">
        <v>8.25</v>
      </c>
      <c r="J53" s="151">
        <f t="shared" si="4"/>
        <v>-33.333333333333336</v>
      </c>
      <c r="K53" s="245">
        <v>0</v>
      </c>
      <c r="M53" s="376">
        <f t="shared" si="1"/>
        <v>16500</v>
      </c>
      <c r="N53" s="376">
        <f t="shared" si="2"/>
        <v>450</v>
      </c>
      <c r="O53" s="153">
        <f t="shared" si="5"/>
        <v>0</v>
      </c>
    </row>
    <row r="54" spans="2:34" ht="16" customHeight="1">
      <c r="B54" s="475"/>
      <c r="C54" s="92">
        <v>1</v>
      </c>
      <c r="D54" s="92"/>
      <c r="E54" s="225">
        <v>40892</v>
      </c>
      <c r="F54" s="225">
        <v>43266</v>
      </c>
      <c r="G54" s="226">
        <v>0</v>
      </c>
      <c r="H54" s="227">
        <f t="shared" si="0"/>
        <v>0</v>
      </c>
      <c r="I54" s="226">
        <v>8</v>
      </c>
      <c r="J54" s="228">
        <f t="shared" si="4"/>
        <v>-33.333333333333336</v>
      </c>
      <c r="K54" s="246">
        <v>0</v>
      </c>
      <c r="M54" s="376">
        <f t="shared" si="1"/>
        <v>16000</v>
      </c>
      <c r="N54" s="229">
        <f t="shared" si="2"/>
        <v>0</v>
      </c>
      <c r="O54" s="230">
        <f t="shared" si="5"/>
        <v>0</v>
      </c>
    </row>
    <row r="55" spans="2:34">
      <c r="D55" s="372"/>
      <c r="E55" s="231">
        <v>43100</v>
      </c>
      <c r="F55" s="231">
        <v>43281</v>
      </c>
      <c r="G55" s="370">
        <v>0.125</v>
      </c>
      <c r="H55" s="370">
        <f>H31</f>
        <v>0</v>
      </c>
      <c r="I55" s="370">
        <v>8</v>
      </c>
      <c r="J55" s="370">
        <f>J31</f>
        <v>0</v>
      </c>
      <c r="K55" s="247">
        <f>K31</f>
        <v>0</v>
      </c>
      <c r="L55" s="370"/>
      <c r="M55" s="376">
        <f t="shared" si="1"/>
        <v>16000</v>
      </c>
      <c r="N55" s="370">
        <f>N31</f>
        <v>0</v>
      </c>
      <c r="O55" s="232">
        <f>O31</f>
        <v>0</v>
      </c>
    </row>
    <row r="56" spans="2:34">
      <c r="D56" s="372"/>
      <c r="H56" s="13">
        <f>SUM(H31:H55)*15.2</f>
        <v>233603.09999999998</v>
      </c>
      <c r="I56" s="118" t="s">
        <v>333</v>
      </c>
      <c r="AD56" s="374"/>
      <c r="AE56" s="374"/>
      <c r="AF56" s="374"/>
      <c r="AG56" s="374"/>
      <c r="AH56" s="374"/>
    </row>
    <row r="58" spans="2:34" ht="239.06">
      <c r="B58" s="146" t="s">
        <v>334</v>
      </c>
      <c r="C58" s="119" t="s">
        <v>321</v>
      </c>
      <c r="D58" s="119" t="s">
        <v>322</v>
      </c>
      <c r="E58" s="367" t="s">
        <v>323</v>
      </c>
      <c r="F58" s="367" t="s">
        <v>324</v>
      </c>
      <c r="G58" s="119" t="s">
        <v>325</v>
      </c>
      <c r="H58" s="147" t="s">
        <v>326</v>
      </c>
      <c r="I58" s="122" t="s">
        <v>327</v>
      </c>
      <c r="J58" s="149" t="s">
        <v>328</v>
      </c>
      <c r="K58" s="249" t="s">
        <v>329</v>
      </c>
      <c r="M58" s="148" t="s">
        <v>330</v>
      </c>
      <c r="N58" s="367" t="s">
        <v>331</v>
      </c>
      <c r="O58" s="367" t="s">
        <v>332</v>
      </c>
    </row>
    <row r="59" spans="2:34" ht="16" customHeight="1">
      <c r="B59" s="474"/>
      <c r="C59" s="92">
        <v>1</v>
      </c>
      <c r="D59" s="92"/>
      <c r="E59" s="2">
        <v>40544</v>
      </c>
      <c r="F59" s="2">
        <v>42917</v>
      </c>
      <c r="G59" s="92"/>
      <c r="H59" s="151">
        <f>N59/20</f>
        <v>0</v>
      </c>
      <c r="I59" s="92"/>
      <c r="J59" s="376"/>
      <c r="K59" s="245">
        <v>0</v>
      </c>
      <c r="M59" s="376">
        <f t="shared" ref="M59:M82" si="6">I59*$N$2</f>
        <v>0</v>
      </c>
      <c r="N59" s="376">
        <f t="shared" ref="N59:N82" si="7">G59*$N$3</f>
        <v>0</v>
      </c>
      <c r="O59" s="153">
        <f t="shared" ref="O59:O82" si="8">K59*100</f>
        <v>0</v>
      </c>
    </row>
    <row r="60" spans="2:34" ht="16" customHeight="1">
      <c r="B60" s="474"/>
      <c r="C60" s="92">
        <v>1</v>
      </c>
      <c r="D60" s="92"/>
      <c r="E60" s="2">
        <v>40558</v>
      </c>
      <c r="F60" s="2">
        <v>42931</v>
      </c>
      <c r="G60" s="92"/>
      <c r="H60" s="151">
        <f t="shared" ref="H60:H82" si="9">N60/20</f>
        <v>0</v>
      </c>
      <c r="I60" s="92"/>
      <c r="J60" s="151">
        <f t="shared" ref="J60:J82" si="10">(M60-M59)/15</f>
        <v>0</v>
      </c>
      <c r="K60" s="245">
        <v>0</v>
      </c>
      <c r="M60" s="376">
        <f t="shared" si="6"/>
        <v>0</v>
      </c>
      <c r="N60" s="376">
        <f t="shared" si="7"/>
        <v>0</v>
      </c>
      <c r="O60" s="153">
        <f t="shared" si="8"/>
        <v>0</v>
      </c>
    </row>
    <row r="61" spans="2:34" ht="16" customHeight="1">
      <c r="B61" s="474"/>
      <c r="C61" s="92">
        <v>1</v>
      </c>
      <c r="D61" s="92"/>
      <c r="E61" s="2">
        <v>40575</v>
      </c>
      <c r="F61" s="2">
        <v>42948</v>
      </c>
      <c r="G61" s="92"/>
      <c r="H61" s="151">
        <f t="shared" si="9"/>
        <v>0</v>
      </c>
      <c r="I61" s="92"/>
      <c r="J61" s="151">
        <f t="shared" si="10"/>
        <v>0</v>
      </c>
      <c r="K61" s="245">
        <v>0</v>
      </c>
      <c r="M61" s="376">
        <f t="shared" si="6"/>
        <v>0</v>
      </c>
      <c r="N61" s="376">
        <f t="shared" si="7"/>
        <v>0</v>
      </c>
      <c r="O61" s="153">
        <f t="shared" si="8"/>
        <v>0</v>
      </c>
    </row>
    <row r="62" spans="2:34" ht="16" customHeight="1">
      <c r="B62" s="474"/>
      <c r="C62" s="92">
        <v>1</v>
      </c>
      <c r="D62" s="92"/>
      <c r="E62" s="2">
        <v>40589</v>
      </c>
      <c r="F62" s="2">
        <v>42962</v>
      </c>
      <c r="G62" s="92"/>
      <c r="H62" s="151">
        <f t="shared" si="9"/>
        <v>0</v>
      </c>
      <c r="I62" s="92"/>
      <c r="J62" s="151">
        <f t="shared" si="10"/>
        <v>0</v>
      </c>
      <c r="K62" s="245">
        <v>0</v>
      </c>
      <c r="M62" s="376">
        <f t="shared" si="6"/>
        <v>0</v>
      </c>
      <c r="N62" s="376">
        <f t="shared" si="7"/>
        <v>0</v>
      </c>
      <c r="O62" s="153">
        <f t="shared" si="8"/>
        <v>0</v>
      </c>
    </row>
    <row r="63" spans="2:34" ht="16" customHeight="1">
      <c r="B63" s="474"/>
      <c r="C63" s="92">
        <v>1</v>
      </c>
      <c r="D63" s="92"/>
      <c r="E63" s="2">
        <v>40603</v>
      </c>
      <c r="F63" s="2">
        <v>42979</v>
      </c>
      <c r="G63" s="92"/>
      <c r="H63" s="151">
        <f t="shared" si="9"/>
        <v>0</v>
      </c>
      <c r="I63" s="92"/>
      <c r="J63" s="151">
        <f t="shared" si="10"/>
        <v>0</v>
      </c>
      <c r="K63" s="245">
        <v>0</v>
      </c>
      <c r="M63" s="376">
        <f t="shared" si="6"/>
        <v>0</v>
      </c>
      <c r="N63" s="376">
        <f t="shared" si="7"/>
        <v>0</v>
      </c>
      <c r="O63" s="153">
        <f t="shared" si="8"/>
        <v>0</v>
      </c>
    </row>
    <row r="64" spans="2:34" ht="16" customHeight="1">
      <c r="B64" s="474"/>
      <c r="C64" s="92">
        <v>1</v>
      </c>
      <c r="D64" s="92"/>
      <c r="E64" s="2">
        <v>40617</v>
      </c>
      <c r="F64" s="2">
        <v>42993</v>
      </c>
      <c r="G64" s="92"/>
      <c r="H64" s="151">
        <f t="shared" si="9"/>
        <v>0</v>
      </c>
      <c r="I64" s="92"/>
      <c r="J64" s="151">
        <f t="shared" si="10"/>
        <v>0</v>
      </c>
      <c r="K64" s="245">
        <v>0</v>
      </c>
      <c r="M64" s="376">
        <f t="shared" si="6"/>
        <v>0</v>
      </c>
      <c r="N64" s="376">
        <f t="shared" si="7"/>
        <v>0</v>
      </c>
      <c r="O64" s="153">
        <f t="shared" si="8"/>
        <v>0</v>
      </c>
    </row>
    <row r="65" spans="2:15" ht="16" customHeight="1">
      <c r="B65" s="474"/>
      <c r="C65" s="92"/>
      <c r="D65" s="92">
        <v>1</v>
      </c>
      <c r="E65" s="2">
        <v>40634</v>
      </c>
      <c r="F65" s="2">
        <v>43009</v>
      </c>
      <c r="G65" s="92">
        <v>2.5</v>
      </c>
      <c r="H65" s="151">
        <f t="shared" si="9"/>
        <v>562.5</v>
      </c>
      <c r="I65" s="92">
        <v>5</v>
      </c>
      <c r="J65" s="151">
        <f t="shared" si="10"/>
        <v>666.66666666666663</v>
      </c>
      <c r="K65" s="245">
        <v>0</v>
      </c>
      <c r="M65" s="376">
        <f t="shared" si="6"/>
        <v>10000</v>
      </c>
      <c r="N65" s="376">
        <f t="shared" si="7"/>
        <v>11250</v>
      </c>
      <c r="O65" s="153">
        <f t="shared" si="8"/>
        <v>0</v>
      </c>
    </row>
    <row r="66" spans="2:15" ht="16" customHeight="1">
      <c r="B66" s="474"/>
      <c r="C66" s="92"/>
      <c r="D66" s="92">
        <v>1</v>
      </c>
      <c r="E66" s="2">
        <v>40648</v>
      </c>
      <c r="F66" s="2">
        <v>43023</v>
      </c>
      <c r="G66" s="92">
        <v>5</v>
      </c>
      <c r="H66" s="151">
        <f t="shared" si="9"/>
        <v>1125</v>
      </c>
      <c r="I66" s="92">
        <v>7</v>
      </c>
      <c r="J66" s="151">
        <f t="shared" si="10"/>
        <v>266.66666666666669</v>
      </c>
      <c r="K66" s="245">
        <v>0.01</v>
      </c>
      <c r="M66" s="376">
        <f t="shared" si="6"/>
        <v>14000</v>
      </c>
      <c r="N66" s="376">
        <f t="shared" si="7"/>
        <v>22500</v>
      </c>
      <c r="O66" s="153">
        <f t="shared" si="8"/>
        <v>1</v>
      </c>
    </row>
    <row r="67" spans="2:15" ht="16" customHeight="1">
      <c r="B67" s="474"/>
      <c r="C67" s="92"/>
      <c r="D67" s="92">
        <v>1</v>
      </c>
      <c r="E67" s="2">
        <v>40664</v>
      </c>
      <c r="F67" s="2">
        <v>43040</v>
      </c>
      <c r="G67" s="92">
        <v>6</v>
      </c>
      <c r="H67" s="151">
        <f t="shared" si="9"/>
        <v>1350</v>
      </c>
      <c r="I67" s="92">
        <v>10</v>
      </c>
      <c r="J67" s="151">
        <f t="shared" si="10"/>
        <v>400</v>
      </c>
      <c r="K67" s="245">
        <v>0.02</v>
      </c>
      <c r="M67" s="376">
        <f t="shared" si="6"/>
        <v>20000</v>
      </c>
      <c r="N67" s="376">
        <f t="shared" si="7"/>
        <v>27000</v>
      </c>
      <c r="O67" s="153">
        <f t="shared" si="8"/>
        <v>2</v>
      </c>
    </row>
    <row r="68" spans="2:15" ht="16" customHeight="1">
      <c r="B68" s="474"/>
      <c r="C68" s="92"/>
      <c r="D68" s="92">
        <v>1</v>
      </c>
      <c r="E68" s="2">
        <v>40678</v>
      </c>
      <c r="F68" s="2">
        <v>43054</v>
      </c>
      <c r="G68" s="92">
        <v>7</v>
      </c>
      <c r="H68" s="151">
        <f t="shared" si="9"/>
        <v>1575</v>
      </c>
      <c r="I68" s="92">
        <v>13</v>
      </c>
      <c r="J68" s="151">
        <f t="shared" si="10"/>
        <v>400</v>
      </c>
      <c r="K68" s="245">
        <v>0.03</v>
      </c>
      <c r="M68" s="376">
        <f t="shared" si="6"/>
        <v>26000</v>
      </c>
      <c r="N68" s="376">
        <f t="shared" si="7"/>
        <v>31500</v>
      </c>
      <c r="O68" s="153">
        <f t="shared" si="8"/>
        <v>3</v>
      </c>
    </row>
    <row r="69" spans="2:15" ht="16" customHeight="1">
      <c r="B69" s="474"/>
      <c r="C69" s="92"/>
      <c r="D69" s="92">
        <v>1</v>
      </c>
      <c r="E69" s="2">
        <v>40695</v>
      </c>
      <c r="F69" s="2">
        <v>43070</v>
      </c>
      <c r="G69" s="92">
        <v>8</v>
      </c>
      <c r="H69" s="151">
        <f t="shared" si="9"/>
        <v>1800</v>
      </c>
      <c r="I69" s="92">
        <v>16</v>
      </c>
      <c r="J69" s="151">
        <f t="shared" si="10"/>
        <v>400</v>
      </c>
      <c r="K69" s="245">
        <v>0.04</v>
      </c>
      <c r="M69" s="376">
        <f t="shared" si="6"/>
        <v>32000</v>
      </c>
      <c r="N69" s="376">
        <f t="shared" si="7"/>
        <v>36000</v>
      </c>
      <c r="O69" s="153">
        <f t="shared" si="8"/>
        <v>4</v>
      </c>
    </row>
    <row r="70" spans="2:15" ht="16" customHeight="1">
      <c r="B70" s="474"/>
      <c r="C70" s="92"/>
      <c r="D70" s="92">
        <v>1</v>
      </c>
      <c r="E70" s="2">
        <v>40709</v>
      </c>
      <c r="F70" s="2">
        <v>43084</v>
      </c>
      <c r="G70" s="92">
        <v>8</v>
      </c>
      <c r="H70" s="151">
        <f t="shared" si="9"/>
        <v>1800</v>
      </c>
      <c r="I70" s="92">
        <v>19</v>
      </c>
      <c r="J70" s="151">
        <f t="shared" si="10"/>
        <v>400</v>
      </c>
      <c r="K70" s="245">
        <v>0.05</v>
      </c>
      <c r="M70" s="376">
        <f t="shared" si="6"/>
        <v>38000</v>
      </c>
      <c r="N70" s="376">
        <f t="shared" si="7"/>
        <v>36000</v>
      </c>
      <c r="O70" s="153">
        <f t="shared" si="8"/>
        <v>5</v>
      </c>
    </row>
    <row r="71" spans="2:15" ht="16" customHeight="1">
      <c r="B71" s="474"/>
      <c r="C71" s="92"/>
      <c r="D71" s="92">
        <v>1</v>
      </c>
      <c r="E71" s="2">
        <v>40725</v>
      </c>
      <c r="F71" s="2">
        <v>43101</v>
      </c>
      <c r="G71" s="92">
        <v>6</v>
      </c>
      <c r="H71" s="151">
        <f t="shared" si="9"/>
        <v>1350</v>
      </c>
      <c r="I71" s="92">
        <v>23</v>
      </c>
      <c r="J71" s="151">
        <f t="shared" si="10"/>
        <v>533.33333333333337</v>
      </c>
      <c r="K71" s="245">
        <v>0.05</v>
      </c>
      <c r="M71" s="376">
        <f t="shared" si="6"/>
        <v>46000</v>
      </c>
      <c r="N71" s="376">
        <f t="shared" si="7"/>
        <v>27000</v>
      </c>
      <c r="O71" s="153">
        <f t="shared" si="8"/>
        <v>5</v>
      </c>
    </row>
    <row r="72" spans="2:15" ht="16" customHeight="1">
      <c r="B72" s="474"/>
      <c r="C72" s="92"/>
      <c r="D72" s="92">
        <v>1</v>
      </c>
      <c r="E72" s="2">
        <v>40739</v>
      </c>
      <c r="F72" s="2">
        <v>43115</v>
      </c>
      <c r="G72" s="92">
        <v>5</v>
      </c>
      <c r="H72" s="151">
        <f t="shared" si="9"/>
        <v>1125</v>
      </c>
      <c r="I72" s="92">
        <v>24</v>
      </c>
      <c r="J72" s="151">
        <f t="shared" si="10"/>
        <v>133.33333333333334</v>
      </c>
      <c r="K72" s="245">
        <v>0.02</v>
      </c>
      <c r="M72" s="376">
        <f t="shared" si="6"/>
        <v>48000</v>
      </c>
      <c r="N72" s="376">
        <f t="shared" si="7"/>
        <v>22500</v>
      </c>
      <c r="O72" s="153">
        <f t="shared" si="8"/>
        <v>2</v>
      </c>
    </row>
    <row r="73" spans="2:15" ht="16" customHeight="1">
      <c r="B73" s="474"/>
      <c r="C73" s="92"/>
      <c r="D73" s="92">
        <v>1</v>
      </c>
      <c r="E73" s="2">
        <v>40756</v>
      </c>
      <c r="F73" s="2">
        <v>43132</v>
      </c>
      <c r="G73" s="92">
        <v>4.5</v>
      </c>
      <c r="H73" s="151">
        <f t="shared" si="9"/>
        <v>1012.5</v>
      </c>
      <c r="I73" s="92">
        <v>23</v>
      </c>
      <c r="J73" s="151">
        <f t="shared" si="10"/>
        <v>-133.33333333333334</v>
      </c>
      <c r="K73" s="245">
        <v>0.01</v>
      </c>
      <c r="M73" s="376">
        <f t="shared" si="6"/>
        <v>46000</v>
      </c>
      <c r="N73" s="376">
        <f t="shared" si="7"/>
        <v>20250</v>
      </c>
      <c r="O73" s="153">
        <f t="shared" si="8"/>
        <v>1</v>
      </c>
    </row>
    <row r="74" spans="2:15" ht="16" customHeight="1">
      <c r="B74" s="474"/>
      <c r="C74" s="92"/>
      <c r="D74" s="92">
        <v>1</v>
      </c>
      <c r="E74" s="2">
        <v>40770</v>
      </c>
      <c r="F74" s="2">
        <v>43146</v>
      </c>
      <c r="G74" s="92">
        <v>4</v>
      </c>
      <c r="H74" s="151">
        <f t="shared" si="9"/>
        <v>900</v>
      </c>
      <c r="I74" s="92">
        <v>20</v>
      </c>
      <c r="J74" s="151">
        <f t="shared" si="10"/>
        <v>-400</v>
      </c>
      <c r="K74" s="245">
        <v>0.01</v>
      </c>
      <c r="M74" s="376">
        <f t="shared" si="6"/>
        <v>40000</v>
      </c>
      <c r="N74" s="376">
        <f t="shared" si="7"/>
        <v>18000</v>
      </c>
      <c r="O74" s="153">
        <f t="shared" si="8"/>
        <v>1</v>
      </c>
    </row>
    <row r="75" spans="2:15" ht="16" customHeight="1">
      <c r="B75" s="474"/>
      <c r="C75" s="92"/>
      <c r="D75" s="92"/>
      <c r="E75" s="2">
        <v>40787</v>
      </c>
      <c r="F75" s="2">
        <v>43160</v>
      </c>
      <c r="G75" s="92">
        <v>3.5</v>
      </c>
      <c r="H75" s="151">
        <f t="shared" si="9"/>
        <v>787.5</v>
      </c>
      <c r="I75" s="92">
        <v>14</v>
      </c>
      <c r="J75" s="151">
        <f t="shared" si="10"/>
        <v>-800</v>
      </c>
      <c r="K75" s="245">
        <v>0.01</v>
      </c>
      <c r="M75" s="376">
        <f t="shared" si="6"/>
        <v>28000</v>
      </c>
      <c r="N75" s="376">
        <f t="shared" si="7"/>
        <v>15750</v>
      </c>
      <c r="O75" s="153">
        <f t="shared" si="8"/>
        <v>1</v>
      </c>
    </row>
    <row r="76" spans="2:15" ht="16" customHeight="1">
      <c r="B76" s="474"/>
      <c r="C76" s="92"/>
      <c r="D76" s="92"/>
      <c r="E76" s="2">
        <v>40801</v>
      </c>
      <c r="F76" s="2">
        <v>43174</v>
      </c>
      <c r="G76" s="92">
        <v>4</v>
      </c>
      <c r="H76" s="151">
        <f t="shared" si="9"/>
        <v>900</v>
      </c>
      <c r="I76" s="92">
        <v>12</v>
      </c>
      <c r="J76" s="151">
        <f t="shared" si="10"/>
        <v>-266.66666666666669</v>
      </c>
      <c r="K76" s="245">
        <v>0.01</v>
      </c>
      <c r="M76" s="376">
        <f t="shared" si="6"/>
        <v>24000</v>
      </c>
      <c r="N76" s="376">
        <f t="shared" si="7"/>
        <v>18000</v>
      </c>
      <c r="O76" s="153">
        <f t="shared" si="8"/>
        <v>1</v>
      </c>
    </row>
    <row r="77" spans="2:15" ht="16" customHeight="1">
      <c r="B77" s="474"/>
      <c r="C77" s="92">
        <v>1</v>
      </c>
      <c r="D77" s="92"/>
      <c r="E77" s="2">
        <v>40817</v>
      </c>
      <c r="F77" s="2">
        <v>43191</v>
      </c>
      <c r="G77" s="92">
        <v>3</v>
      </c>
      <c r="H77" s="151">
        <f t="shared" si="9"/>
        <v>675</v>
      </c>
      <c r="I77" s="92">
        <v>10</v>
      </c>
      <c r="J77" s="151">
        <f t="shared" si="10"/>
        <v>-266.66666666666669</v>
      </c>
      <c r="K77" s="245">
        <v>0</v>
      </c>
      <c r="M77" s="376">
        <f t="shared" si="6"/>
        <v>20000</v>
      </c>
      <c r="N77" s="376">
        <f t="shared" si="7"/>
        <v>13500</v>
      </c>
      <c r="O77" s="153">
        <f t="shared" si="8"/>
        <v>0</v>
      </c>
    </row>
    <row r="78" spans="2:15" ht="16" customHeight="1">
      <c r="B78" s="474"/>
      <c r="C78" s="92">
        <v>1</v>
      </c>
      <c r="D78" s="92"/>
      <c r="E78" s="2">
        <v>40831</v>
      </c>
      <c r="F78" s="2">
        <v>43205</v>
      </c>
      <c r="G78" s="92">
        <v>2</v>
      </c>
      <c r="H78" s="151">
        <f t="shared" si="9"/>
        <v>450</v>
      </c>
      <c r="I78" s="92">
        <v>9</v>
      </c>
      <c r="J78" s="151">
        <f t="shared" si="10"/>
        <v>-133.33333333333334</v>
      </c>
      <c r="K78" s="245">
        <v>0</v>
      </c>
      <c r="M78" s="376">
        <f t="shared" si="6"/>
        <v>18000</v>
      </c>
      <c r="N78" s="376">
        <f t="shared" si="7"/>
        <v>9000</v>
      </c>
      <c r="O78" s="153">
        <f t="shared" si="8"/>
        <v>0</v>
      </c>
    </row>
    <row r="79" spans="2:15" ht="16" customHeight="1">
      <c r="B79" s="474"/>
      <c r="C79" s="92">
        <v>1</v>
      </c>
      <c r="D79" s="92"/>
      <c r="E79" s="2">
        <v>40848</v>
      </c>
      <c r="F79" s="2">
        <v>43221</v>
      </c>
      <c r="G79" s="92">
        <v>1</v>
      </c>
      <c r="H79" s="151">
        <f t="shared" si="9"/>
        <v>225</v>
      </c>
      <c r="I79" s="92">
        <v>8</v>
      </c>
      <c r="J79" s="151">
        <f t="shared" si="10"/>
        <v>-133.33333333333334</v>
      </c>
      <c r="K79" s="245">
        <v>0</v>
      </c>
      <c r="M79" s="376">
        <f t="shared" si="6"/>
        <v>16000</v>
      </c>
      <c r="N79" s="376">
        <f t="shared" si="7"/>
        <v>4500</v>
      </c>
      <c r="O79" s="153">
        <f t="shared" si="8"/>
        <v>0</v>
      </c>
    </row>
    <row r="80" spans="2:15" ht="16" customHeight="1">
      <c r="B80" s="474"/>
      <c r="C80" s="92">
        <v>1</v>
      </c>
      <c r="D80" s="92"/>
      <c r="E80" s="2">
        <v>40862</v>
      </c>
      <c r="F80" s="2">
        <v>43235</v>
      </c>
      <c r="G80" s="92">
        <v>0</v>
      </c>
      <c r="H80" s="151">
        <f t="shared" si="9"/>
        <v>0</v>
      </c>
      <c r="I80" s="92">
        <v>7</v>
      </c>
      <c r="J80" s="151">
        <f t="shared" si="10"/>
        <v>-133.33333333333334</v>
      </c>
      <c r="K80" s="245">
        <v>0</v>
      </c>
      <c r="M80" s="376">
        <f t="shared" si="6"/>
        <v>14000</v>
      </c>
      <c r="N80" s="376">
        <f t="shared" si="7"/>
        <v>0</v>
      </c>
      <c r="O80" s="153">
        <f t="shared" si="8"/>
        <v>0</v>
      </c>
    </row>
    <row r="81" spans="2:15" ht="16" customHeight="1">
      <c r="B81" s="474"/>
      <c r="C81" s="92">
        <v>1</v>
      </c>
      <c r="D81" s="92"/>
      <c r="E81" s="2">
        <v>40878</v>
      </c>
      <c r="F81" s="2">
        <v>43252</v>
      </c>
      <c r="G81" s="92">
        <v>0</v>
      </c>
      <c r="H81" s="151">
        <f t="shared" si="9"/>
        <v>0</v>
      </c>
      <c r="I81" s="92">
        <v>6</v>
      </c>
      <c r="J81" s="151">
        <f t="shared" si="10"/>
        <v>-133.33333333333334</v>
      </c>
      <c r="K81" s="245">
        <v>0</v>
      </c>
      <c r="M81" s="376">
        <f t="shared" si="6"/>
        <v>12000</v>
      </c>
      <c r="N81" s="376">
        <f t="shared" si="7"/>
        <v>0</v>
      </c>
      <c r="O81" s="153">
        <f t="shared" si="8"/>
        <v>0</v>
      </c>
    </row>
    <row r="82" spans="2:15" ht="16" customHeight="1">
      <c r="B82" s="475"/>
      <c r="C82" s="92">
        <v>1</v>
      </c>
      <c r="D82" s="92"/>
      <c r="E82" s="2">
        <v>40892</v>
      </c>
      <c r="F82" s="2">
        <v>43266</v>
      </c>
      <c r="G82" s="92">
        <v>0</v>
      </c>
      <c r="H82" s="154">
        <f t="shared" si="9"/>
        <v>0</v>
      </c>
      <c r="I82" s="92">
        <v>6</v>
      </c>
      <c r="J82" s="151">
        <f t="shared" si="10"/>
        <v>0</v>
      </c>
      <c r="K82" s="245">
        <v>0</v>
      </c>
      <c r="M82" s="376">
        <f t="shared" si="6"/>
        <v>12000</v>
      </c>
      <c r="N82" s="376">
        <f t="shared" si="7"/>
        <v>0</v>
      </c>
      <c r="O82" s="153">
        <f t="shared" si="8"/>
        <v>0</v>
      </c>
    </row>
    <row r="83" spans="2:15">
      <c r="D83" s="372"/>
      <c r="E83" s="231">
        <v>43100</v>
      </c>
      <c r="F83" s="231">
        <v>43281</v>
      </c>
      <c r="G83" s="370">
        <f>G59</f>
        <v>0</v>
      </c>
      <c r="H83" s="370">
        <f t="shared" ref="H83:O83" si="11">H59</f>
        <v>0</v>
      </c>
      <c r="I83" s="370">
        <v>6</v>
      </c>
      <c r="J83" s="370">
        <f t="shared" si="11"/>
        <v>0</v>
      </c>
      <c r="K83" s="247">
        <f t="shared" si="11"/>
        <v>0</v>
      </c>
      <c r="L83" s="370"/>
      <c r="M83" s="370">
        <f t="shared" si="11"/>
        <v>0</v>
      </c>
      <c r="N83" s="370">
        <f t="shared" si="11"/>
        <v>0</v>
      </c>
      <c r="O83" s="232">
        <f t="shared" si="11"/>
        <v>0</v>
      </c>
    </row>
    <row r="86" spans="2:15" ht="239.06">
      <c r="B86" s="146" t="s">
        <v>335</v>
      </c>
      <c r="C86" s="119" t="s">
        <v>321</v>
      </c>
      <c r="D86" s="119" t="s">
        <v>322</v>
      </c>
      <c r="E86" s="367" t="s">
        <v>323</v>
      </c>
      <c r="F86" s="367" t="s">
        <v>324</v>
      </c>
      <c r="G86" s="119" t="s">
        <v>325</v>
      </c>
      <c r="H86" s="147" t="s">
        <v>326</v>
      </c>
      <c r="I86" s="122" t="s">
        <v>327</v>
      </c>
      <c r="J86" s="149" t="s">
        <v>328</v>
      </c>
      <c r="K86" s="249" t="s">
        <v>329</v>
      </c>
      <c r="M86" s="148" t="s">
        <v>330</v>
      </c>
      <c r="N86" s="367" t="s">
        <v>331</v>
      </c>
      <c r="O86" s="367" t="s">
        <v>332</v>
      </c>
    </row>
    <row r="87" spans="2:15" ht="16.44">
      <c r="B87" s="474"/>
      <c r="C87" s="92">
        <v>1</v>
      </c>
      <c r="D87" s="92"/>
      <c r="E87" s="2">
        <v>40544</v>
      </c>
      <c r="F87" s="2">
        <v>42917</v>
      </c>
      <c r="G87" s="92"/>
      <c r="H87" s="151">
        <f t="shared" ref="H87:H110" si="12">N87/20</f>
        <v>0</v>
      </c>
      <c r="I87" s="92"/>
      <c r="J87" s="376"/>
      <c r="K87" s="245"/>
      <c r="M87" s="376">
        <f t="shared" ref="M87:M110" si="13">I87*$N$2</f>
        <v>0</v>
      </c>
      <c r="N87" s="376">
        <f t="shared" ref="N87:N110" si="14">G87*$N$3</f>
        <v>0</v>
      </c>
      <c r="O87" s="153">
        <f t="shared" ref="O87:O110" si="15">K87*100</f>
        <v>0</v>
      </c>
    </row>
    <row r="88" spans="2:15" ht="16.44">
      <c r="B88" s="474"/>
      <c r="C88" s="92">
        <v>1</v>
      </c>
      <c r="D88" s="92"/>
      <c r="E88" s="2">
        <v>40558</v>
      </c>
      <c r="F88" s="2">
        <v>42931</v>
      </c>
      <c r="G88" s="92"/>
      <c r="H88" s="151">
        <f t="shared" si="12"/>
        <v>0</v>
      </c>
      <c r="I88" s="92"/>
      <c r="J88" s="151">
        <f t="shared" ref="J88:J110" si="16">(M88-M87)/15</f>
        <v>0</v>
      </c>
      <c r="K88" s="245"/>
      <c r="M88" s="376">
        <f t="shared" si="13"/>
        <v>0</v>
      </c>
      <c r="N88" s="376">
        <f t="shared" si="14"/>
        <v>0</v>
      </c>
      <c r="O88" s="153">
        <f t="shared" si="15"/>
        <v>0</v>
      </c>
    </row>
    <row r="89" spans="2:15" ht="16.44">
      <c r="B89" s="474"/>
      <c r="C89" s="92">
        <v>1</v>
      </c>
      <c r="D89" s="92"/>
      <c r="E89" s="2">
        <v>40575</v>
      </c>
      <c r="F89" s="2">
        <v>42948</v>
      </c>
      <c r="G89" s="92"/>
      <c r="H89" s="151">
        <f t="shared" si="12"/>
        <v>0</v>
      </c>
      <c r="I89" s="92"/>
      <c r="J89" s="151">
        <f t="shared" si="16"/>
        <v>0</v>
      </c>
      <c r="K89" s="245"/>
      <c r="M89" s="376">
        <f t="shared" si="13"/>
        <v>0</v>
      </c>
      <c r="N89" s="376">
        <f t="shared" si="14"/>
        <v>0</v>
      </c>
      <c r="O89" s="153">
        <f t="shared" si="15"/>
        <v>0</v>
      </c>
    </row>
    <row r="90" spans="2:15" ht="16.44">
      <c r="B90" s="474"/>
      <c r="C90" s="92">
        <v>1</v>
      </c>
      <c r="D90" s="92"/>
      <c r="E90" s="2">
        <v>40589</v>
      </c>
      <c r="F90" s="2">
        <v>42962</v>
      </c>
      <c r="G90" s="92"/>
      <c r="H90" s="151">
        <f t="shared" si="12"/>
        <v>0</v>
      </c>
      <c r="I90" s="92"/>
      <c r="J90" s="151">
        <f t="shared" si="16"/>
        <v>0</v>
      </c>
      <c r="K90" s="245"/>
      <c r="M90" s="376">
        <f t="shared" si="13"/>
        <v>0</v>
      </c>
      <c r="N90" s="376">
        <f t="shared" si="14"/>
        <v>0</v>
      </c>
      <c r="O90" s="153">
        <f t="shared" si="15"/>
        <v>0</v>
      </c>
    </row>
    <row r="91" spans="2:15" ht="16.44">
      <c r="B91" s="474"/>
      <c r="C91" s="92">
        <v>1</v>
      </c>
      <c r="D91" s="92"/>
      <c r="E91" s="2">
        <v>40603</v>
      </c>
      <c r="F91" s="2">
        <v>42979</v>
      </c>
      <c r="G91" s="92"/>
      <c r="H91" s="151">
        <f t="shared" si="12"/>
        <v>0</v>
      </c>
      <c r="I91" s="92"/>
      <c r="J91" s="151">
        <f t="shared" si="16"/>
        <v>0</v>
      </c>
      <c r="K91" s="245"/>
      <c r="M91" s="376">
        <f t="shared" si="13"/>
        <v>0</v>
      </c>
      <c r="N91" s="376">
        <f t="shared" si="14"/>
        <v>0</v>
      </c>
      <c r="O91" s="153">
        <f t="shared" si="15"/>
        <v>0</v>
      </c>
    </row>
    <row r="92" spans="2:15" ht="16.44">
      <c r="B92" s="474"/>
      <c r="C92" s="92">
        <v>1</v>
      </c>
      <c r="D92" s="92"/>
      <c r="E92" s="2">
        <v>40617</v>
      </c>
      <c r="F92" s="2">
        <v>42993</v>
      </c>
      <c r="G92" s="92"/>
      <c r="H92" s="151">
        <f t="shared" si="12"/>
        <v>0</v>
      </c>
      <c r="I92" s="92"/>
      <c r="J92" s="151">
        <f t="shared" si="16"/>
        <v>0</v>
      </c>
      <c r="K92" s="245"/>
      <c r="M92" s="376">
        <f t="shared" si="13"/>
        <v>0</v>
      </c>
      <c r="N92" s="376">
        <f t="shared" si="14"/>
        <v>0</v>
      </c>
      <c r="O92" s="153">
        <f t="shared" si="15"/>
        <v>0</v>
      </c>
    </row>
    <row r="93" spans="2:15" ht="16.44">
      <c r="B93" s="474"/>
      <c r="C93" s="92"/>
      <c r="D93" s="92">
        <v>1</v>
      </c>
      <c r="E93" s="2">
        <v>40634</v>
      </c>
      <c r="F93" s="2">
        <v>43009</v>
      </c>
      <c r="G93" s="92"/>
      <c r="H93" s="151">
        <f t="shared" si="12"/>
        <v>0</v>
      </c>
      <c r="I93" s="92">
        <v>6</v>
      </c>
      <c r="J93" s="151">
        <f t="shared" si="16"/>
        <v>800</v>
      </c>
      <c r="K93" s="245"/>
      <c r="M93" s="376">
        <f t="shared" si="13"/>
        <v>12000</v>
      </c>
      <c r="N93" s="376">
        <f t="shared" si="14"/>
        <v>0</v>
      </c>
      <c r="O93" s="153">
        <f t="shared" si="15"/>
        <v>0</v>
      </c>
    </row>
    <row r="94" spans="2:15" ht="16.44">
      <c r="B94" s="474"/>
      <c r="C94" s="92"/>
      <c r="D94" s="92">
        <v>1</v>
      </c>
      <c r="E94" s="2">
        <v>40648</v>
      </c>
      <c r="F94" s="2">
        <v>43023</v>
      </c>
      <c r="G94" s="92">
        <v>3</v>
      </c>
      <c r="H94" s="151">
        <f t="shared" si="12"/>
        <v>675</v>
      </c>
      <c r="I94" s="92">
        <v>5</v>
      </c>
      <c r="J94" s="151">
        <f t="shared" si="16"/>
        <v>-133.33333333333334</v>
      </c>
      <c r="K94" s="245"/>
      <c r="M94" s="376">
        <f t="shared" si="13"/>
        <v>10000</v>
      </c>
      <c r="N94" s="376">
        <f t="shared" si="14"/>
        <v>13500</v>
      </c>
      <c r="O94" s="153">
        <f t="shared" si="15"/>
        <v>0</v>
      </c>
    </row>
    <row r="95" spans="2:15" ht="16.44">
      <c r="B95" s="474"/>
      <c r="C95" s="92"/>
      <c r="D95" s="92">
        <v>1</v>
      </c>
      <c r="E95" s="2">
        <v>40664</v>
      </c>
      <c r="F95" s="2">
        <v>43040</v>
      </c>
      <c r="G95" s="92">
        <v>4</v>
      </c>
      <c r="H95" s="151">
        <f t="shared" si="12"/>
        <v>900</v>
      </c>
      <c r="I95" s="92">
        <v>9</v>
      </c>
      <c r="J95" s="151">
        <f t="shared" si="16"/>
        <v>533.33333333333337</v>
      </c>
      <c r="K95" s="245"/>
      <c r="M95" s="376">
        <f t="shared" si="13"/>
        <v>18000</v>
      </c>
      <c r="N95" s="376">
        <f t="shared" si="14"/>
        <v>18000</v>
      </c>
      <c r="O95" s="153">
        <f t="shared" si="15"/>
        <v>0</v>
      </c>
    </row>
    <row r="96" spans="2:15" ht="16.44">
      <c r="B96" s="474"/>
      <c r="C96" s="92"/>
      <c r="D96" s="92">
        <v>1</v>
      </c>
      <c r="E96" s="2">
        <v>40678</v>
      </c>
      <c r="F96" s="2">
        <v>43054</v>
      </c>
      <c r="G96" s="92">
        <v>7</v>
      </c>
      <c r="H96" s="151">
        <f t="shared" si="12"/>
        <v>1575</v>
      </c>
      <c r="I96" s="92">
        <v>13</v>
      </c>
      <c r="J96" s="151">
        <f t="shared" si="16"/>
        <v>533.33333333333337</v>
      </c>
      <c r="K96" s="245">
        <v>0.05</v>
      </c>
      <c r="M96" s="376">
        <f t="shared" si="13"/>
        <v>26000</v>
      </c>
      <c r="N96" s="376">
        <f t="shared" si="14"/>
        <v>31500</v>
      </c>
      <c r="O96" s="153">
        <f t="shared" si="15"/>
        <v>5</v>
      </c>
    </row>
    <row r="97" spans="2:15" ht="16.44">
      <c r="B97" s="474"/>
      <c r="C97" s="92"/>
      <c r="D97" s="92">
        <v>1</v>
      </c>
      <c r="E97" s="2">
        <v>40695</v>
      </c>
      <c r="F97" s="2">
        <v>43070</v>
      </c>
      <c r="G97" s="92">
        <v>8</v>
      </c>
      <c r="H97" s="151">
        <f t="shared" si="12"/>
        <v>1800</v>
      </c>
      <c r="I97" s="92">
        <v>17</v>
      </c>
      <c r="J97" s="151">
        <f t="shared" si="16"/>
        <v>533.33333333333337</v>
      </c>
      <c r="K97" s="245">
        <v>0.05</v>
      </c>
      <c r="M97" s="376">
        <f t="shared" si="13"/>
        <v>34000</v>
      </c>
      <c r="N97" s="376">
        <f t="shared" si="14"/>
        <v>36000</v>
      </c>
      <c r="O97" s="153">
        <f t="shared" si="15"/>
        <v>5</v>
      </c>
    </row>
    <row r="98" spans="2:15" ht="16.44">
      <c r="B98" s="474"/>
      <c r="C98" s="92"/>
      <c r="D98" s="92">
        <v>1</v>
      </c>
      <c r="E98" s="2">
        <v>40709</v>
      </c>
      <c r="F98" s="2">
        <v>43084</v>
      </c>
      <c r="G98" s="92">
        <v>8</v>
      </c>
      <c r="H98" s="151">
        <f t="shared" si="12"/>
        <v>1800</v>
      </c>
      <c r="I98" s="92">
        <v>21</v>
      </c>
      <c r="J98" s="151">
        <f t="shared" si="16"/>
        <v>533.33333333333337</v>
      </c>
      <c r="K98" s="245">
        <v>0.05</v>
      </c>
      <c r="M98" s="376">
        <f t="shared" si="13"/>
        <v>42000</v>
      </c>
      <c r="N98" s="376">
        <f t="shared" si="14"/>
        <v>36000</v>
      </c>
      <c r="O98" s="153">
        <f t="shared" si="15"/>
        <v>5</v>
      </c>
    </row>
    <row r="99" spans="2:15" ht="16.44">
      <c r="B99" s="474"/>
      <c r="C99" s="92"/>
      <c r="D99" s="92">
        <v>1</v>
      </c>
      <c r="E99" s="2">
        <v>40725</v>
      </c>
      <c r="F99" s="2">
        <v>43101</v>
      </c>
      <c r="G99" s="92">
        <v>8</v>
      </c>
      <c r="H99" s="151">
        <f t="shared" si="12"/>
        <v>1800</v>
      </c>
      <c r="I99" s="92">
        <v>25</v>
      </c>
      <c r="J99" s="151">
        <f t="shared" si="16"/>
        <v>533.33333333333337</v>
      </c>
      <c r="K99" s="245">
        <v>0.05</v>
      </c>
      <c r="M99" s="376">
        <f t="shared" si="13"/>
        <v>50000</v>
      </c>
      <c r="N99" s="376">
        <f t="shared" si="14"/>
        <v>36000</v>
      </c>
      <c r="O99" s="153">
        <f t="shared" si="15"/>
        <v>5</v>
      </c>
    </row>
    <row r="100" spans="2:15" ht="16.44">
      <c r="B100" s="474"/>
      <c r="C100" s="92"/>
      <c r="D100" s="92">
        <v>1</v>
      </c>
      <c r="E100" s="2">
        <v>40739</v>
      </c>
      <c r="F100" s="2">
        <v>43115</v>
      </c>
      <c r="G100" s="92">
        <v>5</v>
      </c>
      <c r="H100" s="151">
        <f t="shared" si="12"/>
        <v>1125</v>
      </c>
      <c r="I100" s="92">
        <v>26</v>
      </c>
      <c r="J100" s="151">
        <f t="shared" si="16"/>
        <v>133.33333333333334</v>
      </c>
      <c r="K100" s="245">
        <v>0.05</v>
      </c>
      <c r="M100" s="376">
        <f t="shared" si="13"/>
        <v>52000</v>
      </c>
      <c r="N100" s="376">
        <f t="shared" si="14"/>
        <v>22500</v>
      </c>
      <c r="O100" s="153">
        <f t="shared" si="15"/>
        <v>5</v>
      </c>
    </row>
    <row r="101" spans="2:15" ht="16.44">
      <c r="B101" s="474"/>
      <c r="C101" s="92"/>
      <c r="D101" s="92">
        <v>1</v>
      </c>
      <c r="E101" s="2">
        <v>40756</v>
      </c>
      <c r="F101" s="2">
        <v>43132</v>
      </c>
      <c r="G101" s="92">
        <v>4.5</v>
      </c>
      <c r="H101" s="151">
        <f t="shared" si="12"/>
        <v>1012.5</v>
      </c>
      <c r="I101" s="92">
        <v>25</v>
      </c>
      <c r="J101" s="151">
        <f t="shared" si="16"/>
        <v>-133.33333333333334</v>
      </c>
      <c r="K101" s="245">
        <v>0.05</v>
      </c>
      <c r="M101" s="376">
        <f t="shared" si="13"/>
        <v>50000</v>
      </c>
      <c r="N101" s="376">
        <f t="shared" si="14"/>
        <v>20250</v>
      </c>
      <c r="O101" s="153">
        <f t="shared" si="15"/>
        <v>5</v>
      </c>
    </row>
    <row r="102" spans="2:15" ht="16.44">
      <c r="B102" s="474"/>
      <c r="C102" s="92"/>
      <c r="D102" s="92">
        <v>1</v>
      </c>
      <c r="E102" s="2">
        <v>40770</v>
      </c>
      <c r="F102" s="2">
        <v>43146</v>
      </c>
      <c r="G102" s="92">
        <v>4</v>
      </c>
      <c r="H102" s="151">
        <f t="shared" si="12"/>
        <v>900</v>
      </c>
      <c r="I102" s="92">
        <v>20</v>
      </c>
      <c r="J102" s="151">
        <f t="shared" si="16"/>
        <v>-666.66666666666663</v>
      </c>
      <c r="K102" s="245">
        <v>0.05</v>
      </c>
      <c r="M102" s="376">
        <f t="shared" si="13"/>
        <v>40000</v>
      </c>
      <c r="N102" s="376">
        <f t="shared" si="14"/>
        <v>18000</v>
      </c>
      <c r="O102" s="153">
        <f t="shared" si="15"/>
        <v>5</v>
      </c>
    </row>
    <row r="103" spans="2:15" ht="16.44">
      <c r="B103" s="474"/>
      <c r="C103" s="92"/>
      <c r="D103" s="92"/>
      <c r="E103" s="2">
        <v>40787</v>
      </c>
      <c r="F103" s="2">
        <v>43160</v>
      </c>
      <c r="G103" s="92">
        <v>3.5</v>
      </c>
      <c r="H103" s="151">
        <f t="shared" si="12"/>
        <v>787.5</v>
      </c>
      <c r="I103" s="92">
        <v>14</v>
      </c>
      <c r="J103" s="151">
        <f t="shared" si="16"/>
        <v>-800</v>
      </c>
      <c r="K103" s="245">
        <v>0.02</v>
      </c>
      <c r="M103" s="376">
        <f t="shared" si="13"/>
        <v>28000</v>
      </c>
      <c r="N103" s="376">
        <f t="shared" si="14"/>
        <v>15750</v>
      </c>
      <c r="O103" s="153">
        <f t="shared" si="15"/>
        <v>2</v>
      </c>
    </row>
    <row r="104" spans="2:15" ht="16.44">
      <c r="B104" s="474"/>
      <c r="C104" s="92"/>
      <c r="D104" s="92"/>
      <c r="E104" s="2">
        <v>40801</v>
      </c>
      <c r="F104" s="2">
        <v>43174</v>
      </c>
      <c r="G104" s="92">
        <v>4</v>
      </c>
      <c r="H104" s="151">
        <f t="shared" si="12"/>
        <v>900</v>
      </c>
      <c r="I104" s="92">
        <v>12</v>
      </c>
      <c r="J104" s="151">
        <f t="shared" si="16"/>
        <v>-266.66666666666669</v>
      </c>
      <c r="K104" s="245">
        <v>0.02</v>
      </c>
      <c r="M104" s="376">
        <f t="shared" si="13"/>
        <v>24000</v>
      </c>
      <c r="N104" s="376">
        <f t="shared" si="14"/>
        <v>18000</v>
      </c>
      <c r="O104" s="153">
        <f t="shared" si="15"/>
        <v>2</v>
      </c>
    </row>
    <row r="105" spans="2:15" ht="16.44">
      <c r="B105" s="474"/>
      <c r="C105" s="92">
        <v>1</v>
      </c>
      <c r="D105" s="92"/>
      <c r="E105" s="2">
        <v>40817</v>
      </c>
      <c r="F105" s="2">
        <v>43191</v>
      </c>
      <c r="G105" s="92">
        <v>3</v>
      </c>
      <c r="H105" s="151">
        <f t="shared" si="12"/>
        <v>675</v>
      </c>
      <c r="I105" s="92">
        <v>10</v>
      </c>
      <c r="J105" s="151">
        <f t="shared" si="16"/>
        <v>-266.66666666666669</v>
      </c>
      <c r="K105" s="245">
        <v>0</v>
      </c>
      <c r="M105" s="376">
        <f t="shared" si="13"/>
        <v>20000</v>
      </c>
      <c r="N105" s="376">
        <f t="shared" si="14"/>
        <v>13500</v>
      </c>
      <c r="O105" s="153">
        <f t="shared" si="15"/>
        <v>0</v>
      </c>
    </row>
    <row r="106" spans="2:15" ht="16.44">
      <c r="B106" s="474"/>
      <c r="C106" s="92">
        <v>1</v>
      </c>
      <c r="D106" s="92"/>
      <c r="E106" s="2">
        <v>40831</v>
      </c>
      <c r="F106" s="2">
        <v>43205</v>
      </c>
      <c r="G106" s="92">
        <v>2</v>
      </c>
      <c r="H106" s="151">
        <f t="shared" si="12"/>
        <v>450</v>
      </c>
      <c r="I106" s="92">
        <v>9</v>
      </c>
      <c r="J106" s="151">
        <f t="shared" si="16"/>
        <v>-133.33333333333334</v>
      </c>
      <c r="K106" s="245">
        <v>0</v>
      </c>
      <c r="M106" s="376">
        <f t="shared" si="13"/>
        <v>18000</v>
      </c>
      <c r="N106" s="376">
        <f t="shared" si="14"/>
        <v>9000</v>
      </c>
      <c r="O106" s="153">
        <f t="shared" si="15"/>
        <v>0</v>
      </c>
    </row>
    <row r="107" spans="2:15" ht="16.44">
      <c r="B107" s="474"/>
      <c r="C107" s="92">
        <v>1</v>
      </c>
      <c r="D107" s="92"/>
      <c r="E107" s="2">
        <v>40848</v>
      </c>
      <c r="F107" s="2">
        <v>43221</v>
      </c>
      <c r="G107" s="92">
        <v>1</v>
      </c>
      <c r="H107" s="151">
        <f t="shared" si="12"/>
        <v>225</v>
      </c>
      <c r="I107" s="92">
        <v>8</v>
      </c>
      <c r="J107" s="151">
        <f t="shared" si="16"/>
        <v>-133.33333333333334</v>
      </c>
      <c r="K107" s="245">
        <v>0</v>
      </c>
      <c r="M107" s="376">
        <f t="shared" si="13"/>
        <v>16000</v>
      </c>
      <c r="N107" s="376">
        <f t="shared" si="14"/>
        <v>4500</v>
      </c>
      <c r="O107" s="153">
        <f t="shared" si="15"/>
        <v>0</v>
      </c>
    </row>
    <row r="108" spans="2:15" ht="16.44">
      <c r="B108" s="474"/>
      <c r="C108" s="92">
        <v>1</v>
      </c>
      <c r="D108" s="92"/>
      <c r="E108" s="2">
        <v>40862</v>
      </c>
      <c r="F108" s="2">
        <v>43235</v>
      </c>
      <c r="G108" s="92">
        <v>0</v>
      </c>
      <c r="H108" s="151">
        <f t="shared" si="12"/>
        <v>0</v>
      </c>
      <c r="I108" s="92">
        <v>7</v>
      </c>
      <c r="J108" s="151">
        <f t="shared" si="16"/>
        <v>-133.33333333333334</v>
      </c>
      <c r="K108" s="245">
        <v>0</v>
      </c>
      <c r="M108" s="376">
        <f t="shared" si="13"/>
        <v>14000</v>
      </c>
      <c r="N108" s="376">
        <f t="shared" si="14"/>
        <v>0</v>
      </c>
      <c r="O108" s="153">
        <f t="shared" si="15"/>
        <v>0</v>
      </c>
    </row>
    <row r="109" spans="2:15" ht="16.44">
      <c r="B109" s="474"/>
      <c r="C109" s="92">
        <v>1</v>
      </c>
      <c r="D109" s="92"/>
      <c r="E109" s="2">
        <v>40878</v>
      </c>
      <c r="F109" s="2">
        <v>43252</v>
      </c>
      <c r="G109" s="92">
        <v>0</v>
      </c>
      <c r="H109" s="151">
        <f t="shared" si="12"/>
        <v>0</v>
      </c>
      <c r="I109" s="92">
        <v>6</v>
      </c>
      <c r="J109" s="151">
        <f t="shared" si="16"/>
        <v>-133.33333333333334</v>
      </c>
      <c r="K109" s="245">
        <v>0</v>
      </c>
      <c r="M109" s="376">
        <f t="shared" si="13"/>
        <v>12000</v>
      </c>
      <c r="N109" s="376">
        <f t="shared" si="14"/>
        <v>0</v>
      </c>
      <c r="O109" s="153">
        <f t="shared" si="15"/>
        <v>0</v>
      </c>
    </row>
    <row r="110" spans="2:15" ht="16.44">
      <c r="B110" s="475"/>
      <c r="C110" s="92">
        <v>1</v>
      </c>
      <c r="D110" s="92"/>
      <c r="E110" s="2">
        <v>40892</v>
      </c>
      <c r="F110" s="2">
        <v>43266</v>
      </c>
      <c r="G110" s="92">
        <v>0</v>
      </c>
      <c r="H110" s="154">
        <f t="shared" si="12"/>
        <v>0</v>
      </c>
      <c r="I110" s="92">
        <v>6</v>
      </c>
      <c r="J110" s="151">
        <f t="shared" si="16"/>
        <v>0</v>
      </c>
      <c r="K110" s="245">
        <v>0</v>
      </c>
      <c r="M110" s="376">
        <f t="shared" si="13"/>
        <v>12000</v>
      </c>
      <c r="N110" s="376">
        <f t="shared" si="14"/>
        <v>0</v>
      </c>
      <c r="O110" s="153">
        <f t="shared" si="15"/>
        <v>0</v>
      </c>
    </row>
    <row r="111" spans="2:15">
      <c r="D111" s="372"/>
      <c r="E111" s="231">
        <v>43100</v>
      </c>
      <c r="F111" s="231">
        <v>43281</v>
      </c>
      <c r="G111" s="370">
        <f>G87</f>
        <v>0</v>
      </c>
      <c r="H111" s="370">
        <f t="shared" ref="H111:O111" si="17">H87</f>
        <v>0</v>
      </c>
      <c r="I111" s="370">
        <v>6</v>
      </c>
      <c r="J111" s="370">
        <f t="shared" si="17"/>
        <v>0</v>
      </c>
      <c r="K111" s="247">
        <f t="shared" si="17"/>
        <v>0</v>
      </c>
      <c r="L111" s="370"/>
      <c r="M111" s="370">
        <f t="shared" si="17"/>
        <v>0</v>
      </c>
      <c r="N111" s="370">
        <f t="shared" si="17"/>
        <v>0</v>
      </c>
      <c r="O111" s="232">
        <f t="shared" si="17"/>
        <v>0</v>
      </c>
    </row>
    <row r="114" spans="2:15" ht="239.06">
      <c r="B114" s="146" t="s">
        <v>336</v>
      </c>
      <c r="C114" s="119" t="s">
        <v>321</v>
      </c>
      <c r="D114" s="119" t="s">
        <v>322</v>
      </c>
      <c r="E114" s="367" t="s">
        <v>323</v>
      </c>
      <c r="F114" s="367" t="s">
        <v>324</v>
      </c>
      <c r="G114" s="119" t="s">
        <v>325</v>
      </c>
      <c r="H114" s="147" t="s">
        <v>326</v>
      </c>
      <c r="I114" s="122" t="s">
        <v>327</v>
      </c>
      <c r="J114" s="149" t="s">
        <v>328</v>
      </c>
      <c r="K114" s="249" t="s">
        <v>329</v>
      </c>
      <c r="M114" s="148" t="s">
        <v>330</v>
      </c>
      <c r="N114" s="367" t="s">
        <v>331</v>
      </c>
      <c r="O114" s="367" t="s">
        <v>332</v>
      </c>
    </row>
    <row r="115" spans="2:15" ht="16.44">
      <c r="B115" s="473"/>
      <c r="C115" s="92"/>
      <c r="D115" s="92">
        <v>1</v>
      </c>
      <c r="E115" s="2">
        <v>40544</v>
      </c>
      <c r="F115" s="2">
        <v>42917</v>
      </c>
      <c r="G115" s="92">
        <v>2</v>
      </c>
      <c r="H115" s="151">
        <f t="shared" ref="H115:H138" si="18">N115/20</f>
        <v>450</v>
      </c>
      <c r="I115" s="92">
        <v>7</v>
      </c>
      <c r="J115" s="376"/>
      <c r="K115" s="245">
        <v>0</v>
      </c>
      <c r="M115" s="376">
        <f t="shared" ref="M115:M139" si="19">I115*$N$2</f>
        <v>14000</v>
      </c>
      <c r="N115" s="376">
        <f t="shared" ref="N115:N139" si="20">G115*$N$3</f>
        <v>9000</v>
      </c>
      <c r="O115" s="153">
        <f t="shared" ref="O115:O138" si="21">K115*100</f>
        <v>0</v>
      </c>
    </row>
    <row r="116" spans="2:15" ht="16.44">
      <c r="B116" s="473"/>
      <c r="C116" s="92"/>
      <c r="D116" s="92">
        <v>1</v>
      </c>
      <c r="E116" s="2">
        <v>40558</v>
      </c>
      <c r="F116" s="2">
        <v>42931</v>
      </c>
      <c r="G116" s="92">
        <v>3</v>
      </c>
      <c r="H116" s="151">
        <f t="shared" si="18"/>
        <v>675</v>
      </c>
      <c r="I116" s="92">
        <v>7</v>
      </c>
      <c r="J116" s="151">
        <f t="shared" ref="J116:J138" si="22">(M116-M115)/15</f>
        <v>0</v>
      </c>
      <c r="K116" s="245">
        <v>0</v>
      </c>
      <c r="M116" s="376">
        <f t="shared" si="19"/>
        <v>14000</v>
      </c>
      <c r="N116" s="376">
        <f t="shared" si="20"/>
        <v>13500</v>
      </c>
      <c r="O116" s="153">
        <f t="shared" si="21"/>
        <v>0</v>
      </c>
    </row>
    <row r="117" spans="2:15" ht="16.44">
      <c r="B117" s="473"/>
      <c r="C117" s="92"/>
      <c r="D117" s="92">
        <v>1</v>
      </c>
      <c r="E117" s="2">
        <v>40575</v>
      </c>
      <c r="F117" s="2">
        <v>42948</v>
      </c>
      <c r="G117" s="92">
        <v>4</v>
      </c>
      <c r="H117" s="151">
        <f t="shared" si="18"/>
        <v>900</v>
      </c>
      <c r="I117" s="92">
        <v>10</v>
      </c>
      <c r="J117" s="151">
        <f t="shared" si="22"/>
        <v>400</v>
      </c>
      <c r="K117" s="245">
        <v>0</v>
      </c>
      <c r="M117" s="376">
        <f t="shared" si="19"/>
        <v>20000</v>
      </c>
      <c r="N117" s="376">
        <f t="shared" si="20"/>
        <v>18000</v>
      </c>
      <c r="O117" s="153">
        <f t="shared" si="21"/>
        <v>0</v>
      </c>
    </row>
    <row r="118" spans="2:15" ht="16.44">
      <c r="B118" s="473"/>
      <c r="C118" s="92"/>
      <c r="D118" s="92">
        <v>1</v>
      </c>
      <c r="E118" s="2">
        <v>40589</v>
      </c>
      <c r="F118" s="2">
        <v>42962</v>
      </c>
      <c r="G118" s="92">
        <v>5</v>
      </c>
      <c r="H118" s="151">
        <f t="shared" si="18"/>
        <v>1125</v>
      </c>
      <c r="I118" s="92">
        <v>12</v>
      </c>
      <c r="J118" s="151">
        <f t="shared" si="22"/>
        <v>266.66666666666669</v>
      </c>
      <c r="K118" s="245">
        <v>0</v>
      </c>
      <c r="M118" s="376">
        <f t="shared" si="19"/>
        <v>24000</v>
      </c>
      <c r="N118" s="376">
        <f t="shared" si="20"/>
        <v>22500</v>
      </c>
      <c r="O118" s="153">
        <f t="shared" si="21"/>
        <v>0</v>
      </c>
    </row>
    <row r="119" spans="2:15" ht="16.44">
      <c r="B119" s="473"/>
      <c r="C119" s="92"/>
      <c r="D119" s="92">
        <v>1</v>
      </c>
      <c r="E119" s="2">
        <v>40603</v>
      </c>
      <c r="F119" s="2">
        <v>42979</v>
      </c>
      <c r="G119" s="92">
        <v>7</v>
      </c>
      <c r="H119" s="151">
        <f t="shared" si="18"/>
        <v>1575</v>
      </c>
      <c r="I119" s="92">
        <v>12</v>
      </c>
      <c r="J119" s="151">
        <f t="shared" si="22"/>
        <v>0</v>
      </c>
      <c r="K119" s="245">
        <v>0</v>
      </c>
      <c r="M119" s="376">
        <f t="shared" si="19"/>
        <v>24000</v>
      </c>
      <c r="N119" s="376">
        <f t="shared" si="20"/>
        <v>31500</v>
      </c>
      <c r="O119" s="153">
        <f t="shared" si="21"/>
        <v>0</v>
      </c>
    </row>
    <row r="120" spans="2:15" ht="16.44">
      <c r="B120" s="473"/>
      <c r="C120" s="92"/>
      <c r="D120" s="92">
        <v>1</v>
      </c>
      <c r="E120" s="2">
        <v>40617</v>
      </c>
      <c r="F120" s="2">
        <v>42993</v>
      </c>
      <c r="G120" s="92">
        <v>7.5</v>
      </c>
      <c r="H120" s="151">
        <f t="shared" si="18"/>
        <v>1687.5</v>
      </c>
      <c r="I120" s="92">
        <v>14</v>
      </c>
      <c r="J120" s="151">
        <f t="shared" si="22"/>
        <v>266.66666666666669</v>
      </c>
      <c r="K120" s="245">
        <v>0.02</v>
      </c>
      <c r="M120" s="376">
        <f t="shared" si="19"/>
        <v>28000</v>
      </c>
      <c r="N120" s="376">
        <f t="shared" si="20"/>
        <v>33750</v>
      </c>
      <c r="O120" s="153">
        <f t="shared" si="21"/>
        <v>2</v>
      </c>
    </row>
    <row r="121" spans="2:15" ht="16.44">
      <c r="B121" s="473"/>
      <c r="C121" s="92"/>
      <c r="D121" s="92">
        <v>1</v>
      </c>
      <c r="E121" s="2">
        <v>40634</v>
      </c>
      <c r="F121" s="2">
        <v>43009</v>
      </c>
      <c r="G121" s="92">
        <v>8</v>
      </c>
      <c r="H121" s="151">
        <f t="shared" si="18"/>
        <v>1800</v>
      </c>
      <c r="I121" s="92">
        <v>16</v>
      </c>
      <c r="J121" s="151">
        <f t="shared" si="22"/>
        <v>266.66666666666669</v>
      </c>
      <c r="K121" s="245">
        <v>0.03</v>
      </c>
      <c r="M121" s="376">
        <f t="shared" si="19"/>
        <v>32000</v>
      </c>
      <c r="N121" s="376">
        <f t="shared" si="20"/>
        <v>36000</v>
      </c>
      <c r="O121" s="153">
        <f t="shared" si="21"/>
        <v>3</v>
      </c>
    </row>
    <row r="122" spans="2:15" ht="16.44">
      <c r="B122" s="473"/>
      <c r="C122" s="92"/>
      <c r="D122" s="92">
        <v>1</v>
      </c>
      <c r="E122" s="2">
        <v>40648</v>
      </c>
      <c r="F122" s="2">
        <v>43023</v>
      </c>
      <c r="G122" s="92">
        <v>7</v>
      </c>
      <c r="H122" s="151">
        <f t="shared" si="18"/>
        <v>1575</v>
      </c>
      <c r="I122" s="92">
        <v>18</v>
      </c>
      <c r="J122" s="151">
        <f t="shared" si="22"/>
        <v>266.66666666666669</v>
      </c>
      <c r="K122" s="245">
        <v>0.06</v>
      </c>
      <c r="M122" s="376">
        <f t="shared" si="19"/>
        <v>36000</v>
      </c>
      <c r="N122" s="376">
        <f t="shared" si="20"/>
        <v>31500</v>
      </c>
      <c r="O122" s="153">
        <f t="shared" si="21"/>
        <v>6</v>
      </c>
    </row>
    <row r="123" spans="2:15" ht="16.44">
      <c r="B123" s="473"/>
      <c r="C123" s="92"/>
      <c r="D123" s="92">
        <v>1</v>
      </c>
      <c r="E123" s="2">
        <v>40664</v>
      </c>
      <c r="F123" s="2">
        <v>43040</v>
      </c>
      <c r="G123" s="92">
        <v>6</v>
      </c>
      <c r="H123" s="151">
        <f t="shared" si="18"/>
        <v>1350</v>
      </c>
      <c r="I123" s="92">
        <v>18</v>
      </c>
      <c r="J123" s="151">
        <f t="shared" si="22"/>
        <v>0</v>
      </c>
      <c r="K123" s="245">
        <v>0.06</v>
      </c>
      <c r="M123" s="376">
        <f t="shared" si="19"/>
        <v>36000</v>
      </c>
      <c r="N123" s="376">
        <f t="shared" si="20"/>
        <v>27000</v>
      </c>
      <c r="O123" s="153">
        <f t="shared" si="21"/>
        <v>6</v>
      </c>
    </row>
    <row r="124" spans="2:15" ht="16.44">
      <c r="B124" s="473"/>
      <c r="C124" s="92"/>
      <c r="D124" s="92">
        <v>1</v>
      </c>
      <c r="E124" s="2">
        <v>40678</v>
      </c>
      <c r="F124" s="2">
        <v>43054</v>
      </c>
      <c r="G124" s="92">
        <v>6</v>
      </c>
      <c r="H124" s="151">
        <f t="shared" si="18"/>
        <v>1350</v>
      </c>
      <c r="I124" s="92">
        <v>16</v>
      </c>
      <c r="J124" s="151">
        <f t="shared" si="22"/>
        <v>-266.66666666666669</v>
      </c>
      <c r="K124" s="245">
        <v>0.06</v>
      </c>
      <c r="M124" s="376">
        <f t="shared" si="19"/>
        <v>32000</v>
      </c>
      <c r="N124" s="376">
        <f t="shared" si="20"/>
        <v>27000</v>
      </c>
      <c r="O124" s="153">
        <f t="shared" si="21"/>
        <v>6</v>
      </c>
    </row>
    <row r="125" spans="2:15" ht="16.44">
      <c r="B125" s="473"/>
      <c r="C125" s="92"/>
      <c r="D125" s="92">
        <v>1</v>
      </c>
      <c r="E125" s="2">
        <v>40695</v>
      </c>
      <c r="F125" s="2">
        <v>43070</v>
      </c>
      <c r="G125" s="92">
        <v>5</v>
      </c>
      <c r="H125" s="151">
        <f t="shared" si="18"/>
        <v>1125</v>
      </c>
      <c r="I125" s="92">
        <v>15</v>
      </c>
      <c r="J125" s="151">
        <f t="shared" si="22"/>
        <v>-133.33333333333334</v>
      </c>
      <c r="K125" s="245">
        <v>0.05</v>
      </c>
      <c r="M125" s="376">
        <f t="shared" si="19"/>
        <v>30000</v>
      </c>
      <c r="N125" s="376">
        <f t="shared" si="20"/>
        <v>22500</v>
      </c>
      <c r="O125" s="153">
        <f t="shared" si="21"/>
        <v>5</v>
      </c>
    </row>
    <row r="126" spans="2:15" ht="16.44">
      <c r="B126" s="473"/>
      <c r="C126" s="92"/>
      <c r="D126" s="92">
        <v>1</v>
      </c>
      <c r="E126" s="2">
        <v>40709</v>
      </c>
      <c r="F126" s="2">
        <v>43084</v>
      </c>
      <c r="G126" s="92">
        <v>4</v>
      </c>
      <c r="H126" s="151">
        <f t="shared" si="18"/>
        <v>900</v>
      </c>
      <c r="I126" s="92">
        <v>14</v>
      </c>
      <c r="J126" s="151">
        <f t="shared" si="22"/>
        <v>-133.33333333333334</v>
      </c>
      <c r="K126" s="245">
        <v>0.05</v>
      </c>
      <c r="M126" s="376">
        <f t="shared" si="19"/>
        <v>28000</v>
      </c>
      <c r="N126" s="376">
        <f t="shared" si="20"/>
        <v>18000</v>
      </c>
      <c r="O126" s="153">
        <f t="shared" si="21"/>
        <v>5</v>
      </c>
    </row>
    <row r="127" spans="2:15" ht="16.44">
      <c r="B127" s="473"/>
      <c r="C127" s="92"/>
      <c r="D127" s="92">
        <v>1</v>
      </c>
      <c r="E127" s="2">
        <v>40725</v>
      </c>
      <c r="F127" s="2">
        <v>43101</v>
      </c>
      <c r="G127" s="92">
        <v>4</v>
      </c>
      <c r="H127" s="151">
        <f t="shared" si="18"/>
        <v>900</v>
      </c>
      <c r="I127" s="92">
        <v>13</v>
      </c>
      <c r="J127" s="151">
        <f t="shared" si="22"/>
        <v>-133.33333333333334</v>
      </c>
      <c r="K127" s="245">
        <v>0.05</v>
      </c>
      <c r="M127" s="376">
        <f t="shared" si="19"/>
        <v>26000</v>
      </c>
      <c r="N127" s="376">
        <f t="shared" si="20"/>
        <v>18000</v>
      </c>
      <c r="O127" s="153">
        <f t="shared" si="21"/>
        <v>5</v>
      </c>
    </row>
    <row r="128" spans="2:15" ht="16.44">
      <c r="B128" s="473"/>
      <c r="C128" s="92"/>
      <c r="D128" s="92">
        <v>1</v>
      </c>
      <c r="E128" s="2">
        <v>40739</v>
      </c>
      <c r="F128" s="2">
        <v>43115</v>
      </c>
      <c r="G128" s="92">
        <v>3</v>
      </c>
      <c r="H128" s="151">
        <f t="shared" si="18"/>
        <v>675</v>
      </c>
      <c r="I128" s="92">
        <v>12</v>
      </c>
      <c r="J128" s="151">
        <f t="shared" si="22"/>
        <v>-133.33333333333334</v>
      </c>
      <c r="K128" s="245">
        <v>0.05</v>
      </c>
      <c r="M128" s="376">
        <f t="shared" si="19"/>
        <v>24000</v>
      </c>
      <c r="N128" s="376">
        <f t="shared" si="20"/>
        <v>13500</v>
      </c>
      <c r="O128" s="153">
        <f t="shared" si="21"/>
        <v>5</v>
      </c>
    </row>
    <row r="129" spans="2:15" ht="16.44">
      <c r="B129" s="473"/>
      <c r="C129" s="92"/>
      <c r="D129" s="92">
        <v>1</v>
      </c>
      <c r="E129" s="2">
        <v>40756</v>
      </c>
      <c r="F129" s="2">
        <v>43132</v>
      </c>
      <c r="G129" s="92">
        <v>2</v>
      </c>
      <c r="H129" s="151">
        <f t="shared" si="18"/>
        <v>450</v>
      </c>
      <c r="I129" s="92">
        <v>10</v>
      </c>
      <c r="J129" s="151">
        <f t="shared" si="22"/>
        <v>-266.66666666666669</v>
      </c>
      <c r="K129" s="245">
        <v>0.05</v>
      </c>
      <c r="M129" s="376">
        <f t="shared" si="19"/>
        <v>20000</v>
      </c>
      <c r="N129" s="376">
        <f t="shared" si="20"/>
        <v>9000</v>
      </c>
      <c r="O129" s="153">
        <f t="shared" si="21"/>
        <v>5</v>
      </c>
    </row>
    <row r="130" spans="2:15" ht="16.44">
      <c r="B130" s="473"/>
      <c r="C130" s="92">
        <v>1</v>
      </c>
      <c r="D130" s="92">
        <v>1</v>
      </c>
      <c r="E130" s="2">
        <v>40770</v>
      </c>
      <c r="F130" s="2">
        <v>43146</v>
      </c>
      <c r="G130" s="92">
        <v>2</v>
      </c>
      <c r="H130" s="151">
        <f t="shared" si="18"/>
        <v>450</v>
      </c>
      <c r="I130" s="92">
        <v>8</v>
      </c>
      <c r="J130" s="151">
        <f t="shared" si="22"/>
        <v>-266.66666666666669</v>
      </c>
      <c r="K130" s="245">
        <v>0.05</v>
      </c>
      <c r="M130" s="376">
        <f t="shared" si="19"/>
        <v>16000</v>
      </c>
      <c r="N130" s="376">
        <f t="shared" si="20"/>
        <v>9000</v>
      </c>
      <c r="O130" s="153">
        <f t="shared" si="21"/>
        <v>5</v>
      </c>
    </row>
    <row r="131" spans="2:15" ht="16.44">
      <c r="B131" s="473"/>
      <c r="C131" s="92">
        <v>1</v>
      </c>
      <c r="D131" s="92">
        <v>1</v>
      </c>
      <c r="E131" s="2">
        <v>40787</v>
      </c>
      <c r="F131" s="2">
        <v>43160</v>
      </c>
      <c r="G131" s="92">
        <v>2</v>
      </c>
      <c r="H131" s="151">
        <f t="shared" si="18"/>
        <v>450</v>
      </c>
      <c r="I131" s="92">
        <v>7</v>
      </c>
      <c r="J131" s="151">
        <f t="shared" si="22"/>
        <v>-133.33333333333334</v>
      </c>
      <c r="K131" s="245">
        <v>0.02</v>
      </c>
      <c r="M131" s="376">
        <f t="shared" si="19"/>
        <v>14000</v>
      </c>
      <c r="N131" s="376">
        <f t="shared" si="20"/>
        <v>9000</v>
      </c>
      <c r="O131" s="153">
        <f t="shared" si="21"/>
        <v>2</v>
      </c>
    </row>
    <row r="132" spans="2:15" ht="16.44">
      <c r="B132" s="473"/>
      <c r="C132" s="92">
        <v>1</v>
      </c>
      <c r="D132" s="92">
        <v>1</v>
      </c>
      <c r="E132" s="2">
        <v>40801</v>
      </c>
      <c r="F132" s="2">
        <v>43174</v>
      </c>
      <c r="G132" s="92">
        <v>4</v>
      </c>
      <c r="H132" s="151">
        <f t="shared" si="18"/>
        <v>900</v>
      </c>
      <c r="I132" s="92">
        <v>7.5</v>
      </c>
      <c r="J132" s="151">
        <f t="shared" si="22"/>
        <v>66.666666666666671</v>
      </c>
      <c r="K132" s="245">
        <v>0.02</v>
      </c>
      <c r="M132" s="376">
        <f t="shared" si="19"/>
        <v>15000</v>
      </c>
      <c r="N132" s="376">
        <f t="shared" si="20"/>
        <v>18000</v>
      </c>
      <c r="O132" s="153">
        <f t="shared" si="21"/>
        <v>2</v>
      </c>
    </row>
    <row r="133" spans="2:15" ht="16.44">
      <c r="B133" s="473"/>
      <c r="C133" s="92"/>
      <c r="D133" s="92">
        <v>1</v>
      </c>
      <c r="E133" s="2">
        <v>40817</v>
      </c>
      <c r="F133" s="2">
        <v>43191</v>
      </c>
      <c r="G133" s="92">
        <v>4</v>
      </c>
      <c r="H133" s="151">
        <f t="shared" si="18"/>
        <v>900</v>
      </c>
      <c r="I133" s="92">
        <v>8</v>
      </c>
      <c r="J133" s="151">
        <f t="shared" si="22"/>
        <v>66.666666666666671</v>
      </c>
      <c r="K133" s="245">
        <v>0</v>
      </c>
      <c r="M133" s="376">
        <f t="shared" si="19"/>
        <v>16000</v>
      </c>
      <c r="N133" s="376">
        <f t="shared" si="20"/>
        <v>18000</v>
      </c>
      <c r="O133" s="153">
        <f t="shared" si="21"/>
        <v>0</v>
      </c>
    </row>
    <row r="134" spans="2:15" ht="16.44">
      <c r="B134" s="473"/>
      <c r="C134" s="92"/>
      <c r="D134" s="92">
        <v>1</v>
      </c>
      <c r="E134" s="2">
        <v>40831</v>
      </c>
      <c r="F134" s="2">
        <v>43205</v>
      </c>
      <c r="G134" s="92">
        <v>3</v>
      </c>
      <c r="H134" s="151">
        <f t="shared" si="18"/>
        <v>675</v>
      </c>
      <c r="I134" s="92">
        <v>10</v>
      </c>
      <c r="J134" s="151">
        <f t="shared" si="22"/>
        <v>266.66666666666669</v>
      </c>
      <c r="K134" s="245">
        <v>0</v>
      </c>
      <c r="M134" s="376">
        <f t="shared" si="19"/>
        <v>20000</v>
      </c>
      <c r="N134" s="376">
        <f t="shared" si="20"/>
        <v>13500</v>
      </c>
      <c r="O134" s="153">
        <f t="shared" si="21"/>
        <v>0</v>
      </c>
    </row>
    <row r="135" spans="2:15" ht="16.44">
      <c r="B135" s="473"/>
      <c r="C135" s="92"/>
      <c r="D135" s="92"/>
      <c r="E135" s="2">
        <v>40848</v>
      </c>
      <c r="F135" s="2">
        <v>43221</v>
      </c>
      <c r="G135" s="92">
        <v>2</v>
      </c>
      <c r="H135" s="151">
        <f t="shared" si="18"/>
        <v>450</v>
      </c>
      <c r="I135" s="92">
        <v>10</v>
      </c>
      <c r="J135" s="151">
        <f t="shared" si="22"/>
        <v>0</v>
      </c>
      <c r="K135" s="245">
        <v>0</v>
      </c>
      <c r="M135" s="376">
        <f t="shared" si="19"/>
        <v>20000</v>
      </c>
      <c r="N135" s="376">
        <f t="shared" si="20"/>
        <v>9000</v>
      </c>
      <c r="O135" s="153">
        <f t="shared" si="21"/>
        <v>0</v>
      </c>
    </row>
    <row r="136" spans="2:15" ht="16.44">
      <c r="B136" s="473"/>
      <c r="C136" s="92"/>
      <c r="D136" s="92"/>
      <c r="E136" s="2">
        <v>40862</v>
      </c>
      <c r="F136" s="2">
        <v>43235</v>
      </c>
      <c r="G136" s="92">
        <v>2</v>
      </c>
      <c r="H136" s="151">
        <f t="shared" si="18"/>
        <v>450</v>
      </c>
      <c r="I136" s="92">
        <v>9</v>
      </c>
      <c r="J136" s="151">
        <f t="shared" si="22"/>
        <v>-133.33333333333334</v>
      </c>
      <c r="K136" s="245">
        <v>0</v>
      </c>
      <c r="M136" s="376">
        <f t="shared" si="19"/>
        <v>18000</v>
      </c>
      <c r="N136" s="376">
        <f t="shared" si="20"/>
        <v>9000</v>
      </c>
      <c r="O136" s="153">
        <f t="shared" si="21"/>
        <v>0</v>
      </c>
    </row>
    <row r="137" spans="2:15" ht="16.44">
      <c r="B137" s="473"/>
      <c r="C137" s="92"/>
      <c r="D137" s="92"/>
      <c r="E137" s="2">
        <v>40878</v>
      </c>
      <c r="F137" s="2">
        <v>43252</v>
      </c>
      <c r="G137" s="92">
        <v>2</v>
      </c>
      <c r="H137" s="151">
        <f t="shared" si="18"/>
        <v>450</v>
      </c>
      <c r="I137" s="92">
        <v>8</v>
      </c>
      <c r="J137" s="151">
        <f t="shared" si="22"/>
        <v>-133.33333333333334</v>
      </c>
      <c r="K137" s="245">
        <v>0</v>
      </c>
      <c r="M137" s="376">
        <f t="shared" si="19"/>
        <v>16000</v>
      </c>
      <c r="N137" s="376">
        <f t="shared" si="20"/>
        <v>9000</v>
      </c>
      <c r="O137" s="153">
        <f t="shared" si="21"/>
        <v>0</v>
      </c>
    </row>
    <row r="138" spans="2:15" ht="16.44">
      <c r="B138" s="473"/>
      <c r="C138" s="92"/>
      <c r="D138" s="92"/>
      <c r="E138" s="2">
        <v>40892</v>
      </c>
      <c r="F138" s="2">
        <v>43266</v>
      </c>
      <c r="G138" s="92">
        <v>2</v>
      </c>
      <c r="H138" s="154">
        <f t="shared" si="18"/>
        <v>450</v>
      </c>
      <c r="I138" s="92">
        <v>7</v>
      </c>
      <c r="J138" s="151">
        <f t="shared" si="22"/>
        <v>-133.33333333333334</v>
      </c>
      <c r="K138" s="245">
        <v>0</v>
      </c>
      <c r="M138" s="376">
        <f t="shared" si="19"/>
        <v>14000</v>
      </c>
      <c r="N138" s="376">
        <f t="shared" si="20"/>
        <v>9000</v>
      </c>
      <c r="O138" s="153">
        <f t="shared" si="21"/>
        <v>0</v>
      </c>
    </row>
    <row r="139" spans="2:15">
      <c r="D139" s="372"/>
      <c r="E139" s="231">
        <v>43100</v>
      </c>
      <c r="F139" s="231">
        <v>43281</v>
      </c>
      <c r="G139" s="370">
        <f>G115</f>
        <v>2</v>
      </c>
      <c r="H139" s="370"/>
      <c r="I139" s="370">
        <f t="shared" ref="I139:O139" si="23">I115</f>
        <v>7</v>
      </c>
      <c r="J139" s="370"/>
      <c r="K139" s="370">
        <f t="shared" si="23"/>
        <v>0</v>
      </c>
      <c r="L139" s="370">
        <f t="shared" si="23"/>
        <v>0</v>
      </c>
      <c r="M139" s="370">
        <f t="shared" si="19"/>
        <v>14000</v>
      </c>
      <c r="N139" s="370">
        <f t="shared" si="20"/>
        <v>9000</v>
      </c>
      <c r="O139" s="370">
        <f t="shared" si="23"/>
        <v>0</v>
      </c>
    </row>
    <row r="141" spans="2:15">
      <c r="D141" s="118"/>
    </row>
    <row r="142" spans="2:15" ht="239.06">
      <c r="B142" s="146" t="s">
        <v>337</v>
      </c>
      <c r="C142" s="119" t="s">
        <v>321</v>
      </c>
      <c r="D142" s="119" t="s">
        <v>322</v>
      </c>
      <c r="E142" s="367" t="s">
        <v>323</v>
      </c>
      <c r="F142" s="367" t="s">
        <v>324</v>
      </c>
      <c r="G142" s="119" t="s">
        <v>325</v>
      </c>
      <c r="H142" s="147" t="s">
        <v>326</v>
      </c>
      <c r="I142" s="122" t="s">
        <v>327</v>
      </c>
      <c r="J142" s="149" t="s">
        <v>328</v>
      </c>
      <c r="K142" s="249" t="s">
        <v>329</v>
      </c>
      <c r="M142" s="148" t="s">
        <v>330</v>
      </c>
      <c r="N142" s="367" t="s">
        <v>331</v>
      </c>
      <c r="O142" s="367" t="s">
        <v>332</v>
      </c>
    </row>
    <row r="143" spans="2:15" ht="16.44">
      <c r="B143" s="473"/>
      <c r="C143" s="92">
        <v>1</v>
      </c>
      <c r="D143" s="92"/>
      <c r="E143" s="2">
        <v>40544</v>
      </c>
      <c r="F143" s="2">
        <v>42917</v>
      </c>
      <c r="G143" s="92">
        <v>4.2999999999999997E-2</v>
      </c>
      <c r="H143" s="151">
        <f t="shared" ref="H143:H166" si="24">N143/20</f>
        <v>9.6749999999999989</v>
      </c>
      <c r="I143" s="92">
        <v>8</v>
      </c>
      <c r="J143" s="376"/>
      <c r="K143" s="245">
        <v>0</v>
      </c>
      <c r="M143" s="376">
        <f t="shared" ref="M143:M166" si="25">I143*$N$2</f>
        <v>16000</v>
      </c>
      <c r="N143" s="376">
        <f t="shared" ref="N143:N166" si="26">G143*$N$3</f>
        <v>193.49999999999997</v>
      </c>
      <c r="O143" s="153">
        <f t="shared" ref="O143:O166" si="27">K143*100</f>
        <v>0</v>
      </c>
    </row>
    <row r="144" spans="2:15" ht="16.44">
      <c r="B144" s="473"/>
      <c r="C144" s="92">
        <v>1</v>
      </c>
      <c r="D144" s="92"/>
      <c r="E144" s="2">
        <v>40558</v>
      </c>
      <c r="F144" s="2">
        <v>42931</v>
      </c>
      <c r="G144" s="92"/>
      <c r="H144" s="151">
        <f t="shared" si="24"/>
        <v>0</v>
      </c>
      <c r="I144" s="92">
        <v>8</v>
      </c>
      <c r="J144" s="151">
        <f t="shared" ref="J144:J166" si="28">(M144-M143)/15</f>
        <v>0</v>
      </c>
      <c r="K144" s="245">
        <v>0</v>
      </c>
      <c r="M144" s="376">
        <f t="shared" si="25"/>
        <v>16000</v>
      </c>
      <c r="N144" s="376">
        <f t="shared" si="26"/>
        <v>0</v>
      </c>
      <c r="O144" s="153">
        <f t="shared" si="27"/>
        <v>0</v>
      </c>
    </row>
    <row r="145" spans="2:20" ht="16.44">
      <c r="B145" s="473"/>
      <c r="C145" s="92">
        <v>1</v>
      </c>
      <c r="D145" s="92"/>
      <c r="E145" s="2">
        <v>40575</v>
      </c>
      <c r="F145" s="2">
        <v>42948</v>
      </c>
      <c r="G145" s="92"/>
      <c r="H145" s="151">
        <f t="shared" si="24"/>
        <v>0</v>
      </c>
      <c r="I145" s="92">
        <v>8</v>
      </c>
      <c r="J145" s="151">
        <f t="shared" si="28"/>
        <v>0</v>
      </c>
      <c r="K145" s="245">
        <v>0</v>
      </c>
      <c r="M145" s="376">
        <f t="shared" si="25"/>
        <v>16000</v>
      </c>
      <c r="N145" s="376">
        <f t="shared" si="26"/>
        <v>0</v>
      </c>
      <c r="O145" s="153">
        <f t="shared" si="27"/>
        <v>0</v>
      </c>
      <c r="T145" s="24"/>
    </row>
    <row r="146" spans="2:20" ht="16.44">
      <c r="B146" s="473"/>
      <c r="C146" s="92">
        <v>1</v>
      </c>
      <c r="D146" s="92"/>
      <c r="E146" s="2">
        <v>40589</v>
      </c>
      <c r="F146" s="2">
        <v>42962</v>
      </c>
      <c r="G146" s="92">
        <v>4.2999999999999997E-2</v>
      </c>
      <c r="H146" s="151">
        <f t="shared" si="24"/>
        <v>9.6749999999999989</v>
      </c>
      <c r="I146" s="92">
        <v>8</v>
      </c>
      <c r="J146" s="151">
        <f t="shared" si="28"/>
        <v>0</v>
      </c>
      <c r="K146" s="245">
        <v>0</v>
      </c>
      <c r="M146" s="376">
        <f t="shared" si="25"/>
        <v>16000</v>
      </c>
      <c r="N146" s="376">
        <f t="shared" si="26"/>
        <v>193.49999999999997</v>
      </c>
      <c r="O146" s="153">
        <f t="shared" si="27"/>
        <v>0</v>
      </c>
      <c r="T146" s="24"/>
    </row>
    <row r="147" spans="2:20" ht="16.44">
      <c r="B147" s="473"/>
      <c r="C147" s="92">
        <v>1</v>
      </c>
      <c r="D147" s="92"/>
      <c r="E147" s="2">
        <v>40603</v>
      </c>
      <c r="F147" s="2">
        <v>42979</v>
      </c>
      <c r="G147" s="92"/>
      <c r="H147" s="151">
        <f t="shared" si="24"/>
        <v>0</v>
      </c>
      <c r="I147" s="92">
        <v>7</v>
      </c>
      <c r="J147" s="151">
        <f t="shared" si="28"/>
        <v>-133.33333333333334</v>
      </c>
      <c r="K147" s="245">
        <v>0</v>
      </c>
      <c r="M147" s="376">
        <f t="shared" si="25"/>
        <v>14000</v>
      </c>
      <c r="N147" s="376">
        <f t="shared" si="26"/>
        <v>0</v>
      </c>
      <c r="O147" s="153">
        <f t="shared" si="27"/>
        <v>0</v>
      </c>
      <c r="T147" s="24"/>
    </row>
    <row r="148" spans="2:20" ht="16.44">
      <c r="B148" s="473"/>
      <c r="C148" s="92">
        <v>1</v>
      </c>
      <c r="D148" s="92"/>
      <c r="E148" s="2">
        <v>40617</v>
      </c>
      <c r="F148" s="2">
        <v>42993</v>
      </c>
      <c r="G148" s="92">
        <v>0.5</v>
      </c>
      <c r="H148" s="151">
        <f t="shared" si="24"/>
        <v>112.5</v>
      </c>
      <c r="I148" s="92">
        <v>6</v>
      </c>
      <c r="J148" s="151">
        <f t="shared" si="28"/>
        <v>-133.33333333333334</v>
      </c>
      <c r="K148" s="245">
        <v>0.02</v>
      </c>
      <c r="M148" s="376">
        <f t="shared" si="25"/>
        <v>12000</v>
      </c>
      <c r="N148" s="376">
        <f t="shared" si="26"/>
        <v>2250</v>
      </c>
      <c r="O148" s="153">
        <f t="shared" si="27"/>
        <v>2</v>
      </c>
      <c r="T148" s="24"/>
    </row>
    <row r="149" spans="2:20" ht="16.44">
      <c r="B149" s="473"/>
      <c r="C149" s="92"/>
      <c r="D149" s="92">
        <v>1</v>
      </c>
      <c r="E149" s="2">
        <v>40634</v>
      </c>
      <c r="F149" s="2">
        <v>43009</v>
      </c>
      <c r="G149" s="92">
        <v>1</v>
      </c>
      <c r="H149" s="151">
        <f t="shared" si="24"/>
        <v>225</v>
      </c>
      <c r="I149" s="92">
        <v>6</v>
      </c>
      <c r="J149" s="151">
        <f t="shared" si="28"/>
        <v>0</v>
      </c>
      <c r="K149" s="245">
        <v>0.03</v>
      </c>
      <c r="M149" s="376">
        <f t="shared" si="25"/>
        <v>12000</v>
      </c>
      <c r="N149" s="376">
        <f t="shared" si="26"/>
        <v>4500</v>
      </c>
      <c r="O149" s="153">
        <f t="shared" si="27"/>
        <v>3</v>
      </c>
      <c r="T149" s="24"/>
    </row>
    <row r="150" spans="2:20" ht="16.44">
      <c r="B150" s="473"/>
      <c r="C150" s="92"/>
      <c r="D150" s="92">
        <v>1</v>
      </c>
      <c r="E150" s="2">
        <v>40648</v>
      </c>
      <c r="F150" s="2">
        <v>43023</v>
      </c>
      <c r="G150" s="92">
        <v>5</v>
      </c>
      <c r="H150" s="151">
        <f t="shared" si="24"/>
        <v>1125</v>
      </c>
      <c r="I150" s="92">
        <v>6</v>
      </c>
      <c r="J150" s="151">
        <f t="shared" si="28"/>
        <v>0</v>
      </c>
      <c r="K150" s="245">
        <v>0.06</v>
      </c>
      <c r="M150" s="376">
        <f t="shared" si="25"/>
        <v>12000</v>
      </c>
      <c r="N150" s="376">
        <f t="shared" si="26"/>
        <v>22500</v>
      </c>
      <c r="O150" s="153">
        <f t="shared" si="27"/>
        <v>6</v>
      </c>
      <c r="T150" s="24"/>
    </row>
    <row r="151" spans="2:20" ht="16.44">
      <c r="B151" s="473"/>
      <c r="C151" s="92"/>
      <c r="D151" s="92">
        <v>1</v>
      </c>
      <c r="E151" s="2">
        <v>40664</v>
      </c>
      <c r="F151" s="2">
        <v>43040</v>
      </c>
      <c r="G151" s="92">
        <v>7</v>
      </c>
      <c r="H151" s="151">
        <f t="shared" si="24"/>
        <v>1575</v>
      </c>
      <c r="I151" s="92">
        <v>10</v>
      </c>
      <c r="J151" s="151">
        <f t="shared" si="28"/>
        <v>533.33333333333337</v>
      </c>
      <c r="K151" s="245">
        <v>0.1</v>
      </c>
      <c r="M151" s="376">
        <f t="shared" si="25"/>
        <v>20000</v>
      </c>
      <c r="N151" s="376">
        <f t="shared" si="26"/>
        <v>31500</v>
      </c>
      <c r="O151" s="153">
        <f t="shared" si="27"/>
        <v>10</v>
      </c>
      <c r="T151" s="24"/>
    </row>
    <row r="152" spans="2:20" ht="16.44">
      <c r="B152" s="473"/>
      <c r="C152" s="92"/>
      <c r="D152" s="92">
        <v>1</v>
      </c>
      <c r="E152" s="2">
        <v>40678</v>
      </c>
      <c r="F152" s="2">
        <v>43054</v>
      </c>
      <c r="G152" s="92">
        <v>7</v>
      </c>
      <c r="H152" s="151">
        <f t="shared" si="24"/>
        <v>1575</v>
      </c>
      <c r="I152" s="92">
        <v>14</v>
      </c>
      <c r="J152" s="151">
        <f t="shared" si="28"/>
        <v>533.33333333333337</v>
      </c>
      <c r="K152" s="245">
        <v>0.1</v>
      </c>
      <c r="M152" s="376">
        <f t="shared" si="25"/>
        <v>28000</v>
      </c>
      <c r="N152" s="376">
        <f t="shared" si="26"/>
        <v>31500</v>
      </c>
      <c r="O152" s="153">
        <f t="shared" si="27"/>
        <v>10</v>
      </c>
      <c r="T152" s="24"/>
    </row>
    <row r="153" spans="2:20" ht="16.44">
      <c r="B153" s="473"/>
      <c r="C153" s="92"/>
      <c r="D153" s="92">
        <v>1</v>
      </c>
      <c r="E153" s="2">
        <v>40695</v>
      </c>
      <c r="F153" s="2">
        <v>43070</v>
      </c>
      <c r="G153" s="92">
        <v>8</v>
      </c>
      <c r="H153" s="151">
        <f t="shared" si="24"/>
        <v>1800</v>
      </c>
      <c r="I153" s="92">
        <v>20</v>
      </c>
      <c r="J153" s="151">
        <f t="shared" si="28"/>
        <v>800</v>
      </c>
      <c r="K153" s="245">
        <v>0.05</v>
      </c>
      <c r="M153" s="376">
        <f t="shared" si="25"/>
        <v>40000</v>
      </c>
      <c r="N153" s="376">
        <f t="shared" si="26"/>
        <v>36000</v>
      </c>
      <c r="O153" s="153">
        <f t="shared" si="27"/>
        <v>5</v>
      </c>
      <c r="T153" s="24"/>
    </row>
    <row r="154" spans="2:20" ht="16.44">
      <c r="B154" s="473"/>
      <c r="C154" s="92"/>
      <c r="D154" s="92">
        <v>1</v>
      </c>
      <c r="E154" s="2">
        <v>40709</v>
      </c>
      <c r="F154" s="2">
        <v>43084</v>
      </c>
      <c r="G154" s="92">
        <v>8</v>
      </c>
      <c r="H154" s="151">
        <f t="shared" si="24"/>
        <v>1800</v>
      </c>
      <c r="I154" s="92">
        <v>24</v>
      </c>
      <c r="J154" s="151">
        <f t="shared" si="28"/>
        <v>533.33333333333337</v>
      </c>
      <c r="K154" s="245">
        <v>0.05</v>
      </c>
      <c r="M154" s="376">
        <f t="shared" si="25"/>
        <v>48000</v>
      </c>
      <c r="N154" s="376">
        <f t="shared" si="26"/>
        <v>36000</v>
      </c>
      <c r="O154" s="153">
        <f t="shared" si="27"/>
        <v>5</v>
      </c>
      <c r="T154" s="24"/>
    </row>
    <row r="155" spans="2:20" ht="16.44">
      <c r="B155" s="473"/>
      <c r="C155" s="92"/>
      <c r="D155" s="92">
        <v>1</v>
      </c>
      <c r="E155" s="2">
        <v>40725</v>
      </c>
      <c r="F155" s="2">
        <v>43101</v>
      </c>
      <c r="G155" s="92">
        <v>6</v>
      </c>
      <c r="H155" s="151">
        <f t="shared" si="24"/>
        <v>1350</v>
      </c>
      <c r="I155" s="92">
        <v>26</v>
      </c>
      <c r="J155" s="151">
        <f t="shared" si="28"/>
        <v>266.66666666666669</v>
      </c>
      <c r="K155" s="245">
        <v>0.05</v>
      </c>
      <c r="M155" s="376">
        <f t="shared" si="25"/>
        <v>52000</v>
      </c>
      <c r="N155" s="376">
        <f t="shared" si="26"/>
        <v>27000</v>
      </c>
      <c r="O155" s="153">
        <f t="shared" si="27"/>
        <v>5</v>
      </c>
      <c r="T155" s="24"/>
    </row>
    <row r="156" spans="2:20" ht="16.44">
      <c r="B156" s="473"/>
      <c r="C156" s="92"/>
      <c r="D156" s="92">
        <v>1</v>
      </c>
      <c r="E156" s="2">
        <v>40739</v>
      </c>
      <c r="F156" s="2">
        <v>43115</v>
      </c>
      <c r="G156" s="92">
        <v>5</v>
      </c>
      <c r="H156" s="151">
        <f t="shared" si="24"/>
        <v>1125</v>
      </c>
      <c r="I156" s="92">
        <v>26</v>
      </c>
      <c r="J156" s="151">
        <f t="shared" si="28"/>
        <v>0</v>
      </c>
      <c r="K156" s="245">
        <v>0.05</v>
      </c>
      <c r="M156" s="376">
        <f t="shared" si="25"/>
        <v>52000</v>
      </c>
      <c r="N156" s="376">
        <f t="shared" si="26"/>
        <v>22500</v>
      </c>
      <c r="O156" s="153">
        <f t="shared" si="27"/>
        <v>5</v>
      </c>
      <c r="T156" s="24"/>
    </row>
    <row r="157" spans="2:20" ht="16.44">
      <c r="B157" s="473"/>
      <c r="C157" s="92"/>
      <c r="D157" s="92">
        <v>1</v>
      </c>
      <c r="E157" s="2">
        <v>40756</v>
      </c>
      <c r="F157" s="2">
        <v>43132</v>
      </c>
      <c r="G157" s="92">
        <v>4.5</v>
      </c>
      <c r="H157" s="151">
        <f t="shared" si="24"/>
        <v>1012.5</v>
      </c>
      <c r="I157" s="92">
        <v>25</v>
      </c>
      <c r="J157" s="151">
        <f t="shared" si="28"/>
        <v>-133.33333333333334</v>
      </c>
      <c r="K157" s="245">
        <v>0.05</v>
      </c>
      <c r="M157" s="376">
        <f t="shared" si="25"/>
        <v>50000</v>
      </c>
      <c r="N157" s="376">
        <f t="shared" si="26"/>
        <v>20250</v>
      </c>
      <c r="O157" s="153">
        <f t="shared" si="27"/>
        <v>5</v>
      </c>
      <c r="T157" s="24"/>
    </row>
    <row r="158" spans="2:20" ht="16.44">
      <c r="B158" s="473"/>
      <c r="C158" s="92"/>
      <c r="D158" s="92">
        <v>1</v>
      </c>
      <c r="E158" s="2">
        <v>40770</v>
      </c>
      <c r="F158" s="2">
        <v>43146</v>
      </c>
      <c r="G158" s="92">
        <v>4</v>
      </c>
      <c r="H158" s="151">
        <f t="shared" si="24"/>
        <v>900</v>
      </c>
      <c r="I158" s="92">
        <v>20</v>
      </c>
      <c r="J158" s="151">
        <f t="shared" si="28"/>
        <v>-666.66666666666663</v>
      </c>
      <c r="K158" s="245">
        <v>0.05</v>
      </c>
      <c r="M158" s="376">
        <f t="shared" si="25"/>
        <v>40000</v>
      </c>
      <c r="N158" s="376">
        <f t="shared" si="26"/>
        <v>18000</v>
      </c>
      <c r="O158" s="153">
        <f t="shared" si="27"/>
        <v>5</v>
      </c>
      <c r="T158" s="24"/>
    </row>
    <row r="159" spans="2:20" ht="16.44">
      <c r="B159" s="473"/>
      <c r="C159" s="92"/>
      <c r="D159" s="92"/>
      <c r="E159" s="2">
        <v>40787</v>
      </c>
      <c r="F159" s="2">
        <v>43160</v>
      </c>
      <c r="G159" s="92">
        <v>3.5</v>
      </c>
      <c r="H159" s="151">
        <f t="shared" si="24"/>
        <v>787.5</v>
      </c>
      <c r="I159" s="92">
        <v>14</v>
      </c>
      <c r="J159" s="151">
        <f t="shared" si="28"/>
        <v>-800</v>
      </c>
      <c r="K159" s="245">
        <v>0.02</v>
      </c>
      <c r="M159" s="376">
        <f t="shared" si="25"/>
        <v>28000</v>
      </c>
      <c r="N159" s="376">
        <f t="shared" si="26"/>
        <v>15750</v>
      </c>
      <c r="O159" s="153">
        <f t="shared" si="27"/>
        <v>2</v>
      </c>
      <c r="T159" s="24"/>
    </row>
    <row r="160" spans="2:20" ht="16.44">
      <c r="B160" s="473"/>
      <c r="C160" s="92"/>
      <c r="D160" s="92"/>
      <c r="E160" s="2">
        <v>40801</v>
      </c>
      <c r="F160" s="2">
        <v>43174</v>
      </c>
      <c r="G160" s="92">
        <v>3</v>
      </c>
      <c r="H160" s="151">
        <f t="shared" si="24"/>
        <v>675</v>
      </c>
      <c r="I160" s="92">
        <v>12</v>
      </c>
      <c r="J160" s="151">
        <f t="shared" si="28"/>
        <v>-266.66666666666669</v>
      </c>
      <c r="K160" s="245">
        <v>0.02</v>
      </c>
      <c r="M160" s="376">
        <f t="shared" si="25"/>
        <v>24000</v>
      </c>
      <c r="N160" s="376">
        <f t="shared" si="26"/>
        <v>13500</v>
      </c>
      <c r="O160" s="153">
        <f t="shared" si="27"/>
        <v>2</v>
      </c>
      <c r="T160" s="24"/>
    </row>
    <row r="161" spans="2:20" ht="16.44">
      <c r="B161" s="473"/>
      <c r="C161" s="92">
        <v>1</v>
      </c>
      <c r="D161" s="92"/>
      <c r="E161" s="2">
        <v>40817</v>
      </c>
      <c r="F161" s="2">
        <v>43191</v>
      </c>
      <c r="G161" s="92">
        <v>0.5</v>
      </c>
      <c r="H161" s="151">
        <f t="shared" si="24"/>
        <v>112.5</v>
      </c>
      <c r="I161" s="92">
        <v>10</v>
      </c>
      <c r="J161" s="151">
        <f t="shared" si="28"/>
        <v>-266.66666666666669</v>
      </c>
      <c r="K161" s="245">
        <v>0</v>
      </c>
      <c r="M161" s="376">
        <f t="shared" si="25"/>
        <v>20000</v>
      </c>
      <c r="N161" s="376">
        <f t="shared" si="26"/>
        <v>2250</v>
      </c>
      <c r="O161" s="153">
        <f t="shared" si="27"/>
        <v>0</v>
      </c>
      <c r="T161" s="24"/>
    </row>
    <row r="162" spans="2:20" ht="16.44">
      <c r="B162" s="473"/>
      <c r="C162" s="92">
        <v>1</v>
      </c>
      <c r="D162" s="92"/>
      <c r="E162" s="2">
        <v>40831</v>
      </c>
      <c r="F162" s="2">
        <v>43205</v>
      </c>
      <c r="G162" s="92">
        <v>0.1</v>
      </c>
      <c r="H162" s="151">
        <f t="shared" si="24"/>
        <v>22.5</v>
      </c>
      <c r="I162" s="92">
        <v>9</v>
      </c>
      <c r="J162" s="151">
        <f t="shared" si="28"/>
        <v>-133.33333333333334</v>
      </c>
      <c r="K162" s="245">
        <v>0</v>
      </c>
      <c r="M162" s="376">
        <f t="shared" si="25"/>
        <v>18000</v>
      </c>
      <c r="N162" s="376">
        <f t="shared" si="26"/>
        <v>450</v>
      </c>
      <c r="O162" s="153">
        <f t="shared" si="27"/>
        <v>0</v>
      </c>
      <c r="T162" s="24"/>
    </row>
    <row r="163" spans="2:20" ht="16.44">
      <c r="B163" s="473"/>
      <c r="C163" s="92">
        <v>1</v>
      </c>
      <c r="D163" s="92"/>
      <c r="E163" s="2">
        <v>40848</v>
      </c>
      <c r="F163" s="2">
        <v>43221</v>
      </c>
      <c r="G163" s="92"/>
      <c r="H163" s="151">
        <f t="shared" si="24"/>
        <v>0</v>
      </c>
      <c r="I163" s="92">
        <v>8</v>
      </c>
      <c r="J163" s="151">
        <f t="shared" si="28"/>
        <v>-133.33333333333334</v>
      </c>
      <c r="K163" s="245">
        <v>0</v>
      </c>
      <c r="M163" s="376">
        <f t="shared" si="25"/>
        <v>16000</v>
      </c>
      <c r="N163" s="376">
        <f t="shared" si="26"/>
        <v>0</v>
      </c>
      <c r="O163" s="153">
        <f t="shared" si="27"/>
        <v>0</v>
      </c>
      <c r="T163" s="24"/>
    </row>
    <row r="164" spans="2:20" ht="16.44">
      <c r="B164" s="473"/>
      <c r="C164" s="92">
        <v>1</v>
      </c>
      <c r="D164" s="92"/>
      <c r="E164" s="2">
        <v>40862</v>
      </c>
      <c r="F164" s="2">
        <v>43235</v>
      </c>
      <c r="G164" s="92"/>
      <c r="H164" s="151">
        <f t="shared" si="24"/>
        <v>0</v>
      </c>
      <c r="I164" s="92">
        <v>8</v>
      </c>
      <c r="J164" s="151">
        <f t="shared" si="28"/>
        <v>0</v>
      </c>
      <c r="K164" s="245">
        <v>0</v>
      </c>
      <c r="M164" s="376">
        <f t="shared" si="25"/>
        <v>16000</v>
      </c>
      <c r="N164" s="376">
        <f t="shared" si="26"/>
        <v>0</v>
      </c>
      <c r="O164" s="153">
        <f t="shared" si="27"/>
        <v>0</v>
      </c>
      <c r="T164" s="24"/>
    </row>
    <row r="165" spans="2:20" ht="16.44">
      <c r="B165" s="473"/>
      <c r="C165" s="92">
        <v>1</v>
      </c>
      <c r="D165" s="92"/>
      <c r="E165" s="2">
        <v>40878</v>
      </c>
      <c r="F165" s="2">
        <v>43252</v>
      </c>
      <c r="G165" s="92"/>
      <c r="H165" s="151">
        <f t="shared" si="24"/>
        <v>0</v>
      </c>
      <c r="I165" s="92">
        <v>8</v>
      </c>
      <c r="J165" s="151">
        <f t="shared" si="28"/>
        <v>0</v>
      </c>
      <c r="K165" s="245">
        <v>0</v>
      </c>
      <c r="M165" s="376">
        <f t="shared" si="25"/>
        <v>16000</v>
      </c>
      <c r="N165" s="376">
        <f t="shared" si="26"/>
        <v>0</v>
      </c>
      <c r="O165" s="153">
        <f t="shared" si="27"/>
        <v>0</v>
      </c>
      <c r="T165" s="24"/>
    </row>
    <row r="166" spans="2:20" ht="16.44">
      <c r="B166" s="473"/>
      <c r="C166" s="92">
        <v>1</v>
      </c>
      <c r="D166" s="92"/>
      <c r="E166" s="2">
        <v>40892</v>
      </c>
      <c r="F166" s="2">
        <v>43266</v>
      </c>
      <c r="G166" s="92"/>
      <c r="H166" s="154">
        <f t="shared" si="24"/>
        <v>0</v>
      </c>
      <c r="I166" s="92">
        <v>8</v>
      </c>
      <c r="J166" s="151">
        <f t="shared" si="28"/>
        <v>0</v>
      </c>
      <c r="K166" s="245">
        <v>0</v>
      </c>
      <c r="M166" s="376">
        <f t="shared" si="25"/>
        <v>16000</v>
      </c>
      <c r="N166" s="376">
        <f t="shared" si="26"/>
        <v>0</v>
      </c>
      <c r="O166" s="153">
        <f t="shared" si="27"/>
        <v>0</v>
      </c>
      <c r="T166" s="24"/>
    </row>
    <row r="167" spans="2:20" ht="16.44">
      <c r="C167" s="120"/>
      <c r="D167" s="118"/>
      <c r="E167" s="231">
        <v>43100</v>
      </c>
      <c r="F167" s="231">
        <v>43281</v>
      </c>
      <c r="G167" s="92"/>
      <c r="H167" s="370">
        <f>I143</f>
        <v>8</v>
      </c>
      <c r="I167" s="370">
        <v>8</v>
      </c>
      <c r="J167" s="370">
        <f>K143</f>
        <v>0</v>
      </c>
      <c r="K167" s="247">
        <f>L143</f>
        <v>0</v>
      </c>
      <c r="L167" s="370"/>
      <c r="M167" s="370">
        <f>N143</f>
        <v>193.49999999999997</v>
      </c>
      <c r="N167" s="370">
        <f>O143</f>
        <v>0</v>
      </c>
      <c r="O167" s="232">
        <f>P143</f>
        <v>0</v>
      </c>
      <c r="T167" s="24"/>
    </row>
    <row r="168" spans="2:20">
      <c r="D168" s="372"/>
      <c r="T168" s="24"/>
    </row>
    <row r="169" spans="2:20">
      <c r="D169" s="118"/>
      <c r="T169" s="24"/>
    </row>
    <row r="170" spans="2:20" ht="239.06" customHeight="1">
      <c r="B170" s="156" t="s">
        <v>338</v>
      </c>
      <c r="C170" s="119" t="s">
        <v>321</v>
      </c>
      <c r="D170" s="119" t="s">
        <v>322</v>
      </c>
      <c r="E170" s="367" t="s">
        <v>323</v>
      </c>
      <c r="F170" s="367" t="s">
        <v>324</v>
      </c>
      <c r="G170" s="119" t="s">
        <v>325</v>
      </c>
      <c r="H170" s="147" t="s">
        <v>326</v>
      </c>
      <c r="I170" s="122" t="s">
        <v>327</v>
      </c>
      <c r="J170" s="149" t="s">
        <v>328</v>
      </c>
      <c r="K170" s="249" t="s">
        <v>329</v>
      </c>
      <c r="M170" s="148" t="s">
        <v>330</v>
      </c>
      <c r="N170" s="367" t="s">
        <v>331</v>
      </c>
      <c r="O170" s="367" t="s">
        <v>332</v>
      </c>
      <c r="P170" s="157"/>
    </row>
    <row r="171" spans="2:20" ht="16.44">
      <c r="B171" s="473"/>
      <c r="C171" s="92">
        <v>1</v>
      </c>
      <c r="D171" s="92"/>
      <c r="E171" s="2">
        <v>40544</v>
      </c>
      <c r="F171" s="2">
        <v>42917</v>
      </c>
      <c r="G171" s="121">
        <v>0.5</v>
      </c>
      <c r="H171" s="151">
        <f>N171/20</f>
        <v>112.5</v>
      </c>
      <c r="I171" s="121">
        <v>6</v>
      </c>
      <c r="J171" s="151"/>
      <c r="K171" s="127">
        <v>0</v>
      </c>
      <c r="M171" s="376">
        <f t="shared" ref="M171:M194" si="29">I171*$N$2</f>
        <v>12000</v>
      </c>
      <c r="N171" s="376">
        <f t="shared" ref="N171:N194" si="30">G171*$N$3</f>
        <v>2250</v>
      </c>
      <c r="O171">
        <f t="shared" ref="O171:O194" si="31">K171*100</f>
        <v>0</v>
      </c>
    </row>
    <row r="172" spans="2:20" ht="16.44">
      <c r="B172" s="473"/>
      <c r="C172" s="92">
        <v>1</v>
      </c>
      <c r="D172" s="92">
        <v>1</v>
      </c>
      <c r="E172" s="2">
        <v>40558</v>
      </c>
      <c r="F172" s="2">
        <v>42931</v>
      </c>
      <c r="G172" s="121">
        <v>2.5</v>
      </c>
      <c r="H172" s="151">
        <f t="shared" ref="H172:H195" si="32">N172/20</f>
        <v>562.5</v>
      </c>
      <c r="I172" s="121">
        <v>5.5</v>
      </c>
      <c r="J172" s="151">
        <f t="shared" ref="J172:J194" si="33">(M172-M171)/15</f>
        <v>-66.666666666666671</v>
      </c>
      <c r="K172" s="127">
        <v>0</v>
      </c>
      <c r="M172" s="376">
        <f t="shared" si="29"/>
        <v>11000</v>
      </c>
      <c r="N172" s="376">
        <f t="shared" si="30"/>
        <v>11250</v>
      </c>
      <c r="O172">
        <f t="shared" si="31"/>
        <v>0</v>
      </c>
    </row>
    <row r="173" spans="2:20" ht="16.44">
      <c r="B173" s="473"/>
      <c r="C173" s="92">
        <v>1</v>
      </c>
      <c r="D173" s="92">
        <v>1</v>
      </c>
      <c r="E173" s="2">
        <v>40575</v>
      </c>
      <c r="F173" s="2">
        <v>42948</v>
      </c>
      <c r="G173" s="121">
        <v>4.5</v>
      </c>
      <c r="H173" s="151">
        <f t="shared" si="32"/>
        <v>1012.5</v>
      </c>
      <c r="I173" s="121">
        <v>6</v>
      </c>
      <c r="J173" s="151">
        <f t="shared" si="33"/>
        <v>66.666666666666671</v>
      </c>
      <c r="K173" s="127">
        <v>0.02</v>
      </c>
      <c r="M173" s="376">
        <f t="shared" si="29"/>
        <v>12000</v>
      </c>
      <c r="N173" s="376">
        <f t="shared" si="30"/>
        <v>20250</v>
      </c>
      <c r="O173">
        <f t="shared" si="31"/>
        <v>2</v>
      </c>
    </row>
    <row r="174" spans="2:20" ht="16.44">
      <c r="B174" s="473"/>
      <c r="C174" s="92">
        <v>1</v>
      </c>
      <c r="D174" s="92">
        <v>1</v>
      </c>
      <c r="E174" s="2">
        <v>40589</v>
      </c>
      <c r="F174" s="2">
        <v>42962</v>
      </c>
      <c r="G174" s="121">
        <v>5.5</v>
      </c>
      <c r="H174" s="151">
        <f t="shared" si="32"/>
        <v>1237.5</v>
      </c>
      <c r="I174" s="121">
        <v>8</v>
      </c>
      <c r="J174" s="151">
        <f t="shared" si="33"/>
        <v>266.66666666666669</v>
      </c>
      <c r="K174" s="127">
        <v>0.02</v>
      </c>
      <c r="M174" s="376">
        <f t="shared" si="29"/>
        <v>16000</v>
      </c>
      <c r="N174" s="376">
        <f t="shared" si="30"/>
        <v>24750</v>
      </c>
      <c r="O174">
        <f t="shared" si="31"/>
        <v>2</v>
      </c>
    </row>
    <row r="175" spans="2:20" ht="16.44">
      <c r="B175" s="473"/>
      <c r="C175" s="92">
        <v>1</v>
      </c>
      <c r="D175" s="92">
        <v>1</v>
      </c>
      <c r="E175" s="2">
        <v>40603</v>
      </c>
      <c r="F175" s="2">
        <v>42979</v>
      </c>
      <c r="G175" s="121">
        <v>7</v>
      </c>
      <c r="H175" s="151">
        <f t="shared" si="32"/>
        <v>1575</v>
      </c>
      <c r="I175" s="121">
        <v>11</v>
      </c>
      <c r="J175" s="151">
        <f t="shared" si="33"/>
        <v>400</v>
      </c>
      <c r="K175" s="127">
        <v>0.03</v>
      </c>
      <c r="M175" s="376">
        <f t="shared" si="29"/>
        <v>22000</v>
      </c>
      <c r="N175" s="376">
        <f t="shared" si="30"/>
        <v>31500</v>
      </c>
      <c r="O175">
        <f t="shared" si="31"/>
        <v>3</v>
      </c>
    </row>
    <row r="176" spans="2:20" ht="16.44">
      <c r="B176" s="473"/>
      <c r="C176" s="92"/>
      <c r="D176" s="92">
        <v>1</v>
      </c>
      <c r="E176" s="2">
        <v>40617</v>
      </c>
      <c r="F176" s="2">
        <v>42993</v>
      </c>
      <c r="G176" s="121">
        <v>8</v>
      </c>
      <c r="H176" s="151">
        <f t="shared" si="32"/>
        <v>1800</v>
      </c>
      <c r="I176" s="121">
        <v>16</v>
      </c>
      <c r="J176" s="151">
        <f t="shared" si="33"/>
        <v>666.66666666666663</v>
      </c>
      <c r="K176" s="127">
        <v>0.08</v>
      </c>
      <c r="M176" s="376">
        <f t="shared" si="29"/>
        <v>32000</v>
      </c>
      <c r="N176" s="376">
        <f t="shared" si="30"/>
        <v>36000</v>
      </c>
      <c r="O176">
        <f t="shared" si="31"/>
        <v>8</v>
      </c>
    </row>
    <row r="177" spans="2:15" ht="16.44">
      <c r="B177" s="473"/>
      <c r="C177" s="92"/>
      <c r="D177" s="92">
        <v>1</v>
      </c>
      <c r="E177" s="2">
        <v>40634</v>
      </c>
      <c r="F177" s="2">
        <v>43009</v>
      </c>
      <c r="G177" s="121">
        <v>10</v>
      </c>
      <c r="H177" s="151">
        <f t="shared" si="32"/>
        <v>2250</v>
      </c>
      <c r="I177" s="121">
        <v>20</v>
      </c>
      <c r="J177" s="151">
        <f t="shared" si="33"/>
        <v>533.33333333333337</v>
      </c>
      <c r="K177" s="127">
        <v>0.1</v>
      </c>
      <c r="M177" s="376">
        <f t="shared" si="29"/>
        <v>40000</v>
      </c>
      <c r="N177" s="376">
        <f t="shared" si="30"/>
        <v>45000</v>
      </c>
      <c r="O177">
        <f t="shared" si="31"/>
        <v>10</v>
      </c>
    </row>
    <row r="178" spans="2:15" ht="16.44">
      <c r="B178" s="473"/>
      <c r="C178" s="92"/>
      <c r="D178" s="92">
        <v>1</v>
      </c>
      <c r="E178" s="2">
        <v>40648</v>
      </c>
      <c r="F178" s="2">
        <v>43023</v>
      </c>
      <c r="G178" s="121">
        <v>9</v>
      </c>
      <c r="H178" s="151">
        <f t="shared" si="32"/>
        <v>2025</v>
      </c>
      <c r="I178" s="121">
        <v>15</v>
      </c>
      <c r="J178" s="151">
        <f t="shared" si="33"/>
        <v>-666.66666666666663</v>
      </c>
      <c r="K178" s="127">
        <v>0.15</v>
      </c>
      <c r="M178" s="376">
        <f t="shared" si="29"/>
        <v>30000</v>
      </c>
      <c r="N178" s="376">
        <f t="shared" si="30"/>
        <v>40500</v>
      </c>
      <c r="O178">
        <f t="shared" si="31"/>
        <v>15</v>
      </c>
    </row>
    <row r="179" spans="2:15" ht="16.44">
      <c r="B179" s="473"/>
      <c r="C179" s="92"/>
      <c r="D179" s="92">
        <v>1</v>
      </c>
      <c r="E179" s="2">
        <v>40664</v>
      </c>
      <c r="F179" s="2">
        <v>43040</v>
      </c>
      <c r="G179" s="121">
        <v>9</v>
      </c>
      <c r="H179" s="151">
        <f t="shared" si="32"/>
        <v>2025</v>
      </c>
      <c r="I179" s="121">
        <v>15</v>
      </c>
      <c r="J179" s="151">
        <f t="shared" si="33"/>
        <v>0</v>
      </c>
      <c r="K179" s="127">
        <v>0.1</v>
      </c>
      <c r="M179" s="376">
        <f t="shared" si="29"/>
        <v>30000</v>
      </c>
      <c r="N179" s="376">
        <f t="shared" si="30"/>
        <v>40500</v>
      </c>
      <c r="O179">
        <f t="shared" si="31"/>
        <v>10</v>
      </c>
    </row>
    <row r="180" spans="2:15" ht="16.44">
      <c r="B180" s="473"/>
      <c r="C180" s="92"/>
      <c r="D180" s="92">
        <v>1</v>
      </c>
      <c r="E180" s="2">
        <v>40678</v>
      </c>
      <c r="F180" s="2">
        <v>43054</v>
      </c>
      <c r="G180" s="121">
        <v>10</v>
      </c>
      <c r="H180" s="151">
        <f t="shared" si="32"/>
        <v>2250</v>
      </c>
      <c r="I180" s="121">
        <v>20</v>
      </c>
      <c r="J180" s="151">
        <f t="shared" si="33"/>
        <v>666.66666666666663</v>
      </c>
      <c r="K180" s="127">
        <v>0.1</v>
      </c>
      <c r="M180" s="376">
        <f t="shared" si="29"/>
        <v>40000</v>
      </c>
      <c r="N180" s="376">
        <f t="shared" si="30"/>
        <v>45000</v>
      </c>
      <c r="O180">
        <f t="shared" si="31"/>
        <v>10</v>
      </c>
    </row>
    <row r="181" spans="2:15" ht="16.44">
      <c r="B181" s="473"/>
      <c r="C181" s="92"/>
      <c r="D181" s="92">
        <v>1</v>
      </c>
      <c r="E181" s="2">
        <v>40695</v>
      </c>
      <c r="F181" s="2">
        <v>43070</v>
      </c>
      <c r="G181" s="121">
        <v>10</v>
      </c>
      <c r="H181" s="151">
        <f t="shared" si="32"/>
        <v>2250</v>
      </c>
      <c r="I181" s="121">
        <v>23</v>
      </c>
      <c r="J181" s="151">
        <f t="shared" si="33"/>
        <v>400</v>
      </c>
      <c r="K181" s="127">
        <v>0.05</v>
      </c>
      <c r="M181" s="376">
        <f t="shared" si="29"/>
        <v>46000</v>
      </c>
      <c r="N181" s="376">
        <f t="shared" si="30"/>
        <v>45000</v>
      </c>
      <c r="O181">
        <f t="shared" si="31"/>
        <v>5</v>
      </c>
    </row>
    <row r="182" spans="2:15" ht="16.44">
      <c r="B182" s="473"/>
      <c r="C182" s="92"/>
      <c r="D182" s="92">
        <v>1</v>
      </c>
      <c r="E182" s="2">
        <v>40709</v>
      </c>
      <c r="F182" s="2">
        <v>43084</v>
      </c>
      <c r="G182" s="121">
        <v>9</v>
      </c>
      <c r="H182" s="151">
        <f t="shared" si="32"/>
        <v>2025</v>
      </c>
      <c r="I182" s="121">
        <v>25</v>
      </c>
      <c r="J182" s="151">
        <f t="shared" si="33"/>
        <v>266.66666666666669</v>
      </c>
      <c r="K182" s="127">
        <v>0.05</v>
      </c>
      <c r="M182" s="376">
        <f t="shared" si="29"/>
        <v>50000</v>
      </c>
      <c r="N182" s="376">
        <f t="shared" si="30"/>
        <v>40500</v>
      </c>
      <c r="O182">
        <f t="shared" si="31"/>
        <v>5</v>
      </c>
    </row>
    <row r="183" spans="2:15" ht="16.44">
      <c r="B183" s="473"/>
      <c r="C183" s="92"/>
      <c r="D183" s="92"/>
      <c r="E183" s="2">
        <v>40725</v>
      </c>
      <c r="F183" s="2">
        <v>43101</v>
      </c>
      <c r="G183" s="121">
        <v>6</v>
      </c>
      <c r="H183" s="151">
        <f t="shared" si="32"/>
        <v>1350</v>
      </c>
      <c r="I183" s="121">
        <v>24</v>
      </c>
      <c r="J183" s="151">
        <f t="shared" si="33"/>
        <v>-133.33333333333334</v>
      </c>
      <c r="K183" s="127">
        <v>0.05</v>
      </c>
      <c r="M183" s="376">
        <f t="shared" si="29"/>
        <v>48000</v>
      </c>
      <c r="N183" s="376">
        <f t="shared" si="30"/>
        <v>27000</v>
      </c>
      <c r="O183">
        <f t="shared" si="31"/>
        <v>5</v>
      </c>
    </row>
    <row r="184" spans="2:15" ht="16.44">
      <c r="B184" s="473"/>
      <c r="C184" s="92"/>
      <c r="D184" s="92"/>
      <c r="E184" s="2">
        <v>40739</v>
      </c>
      <c r="F184" s="2">
        <v>43115</v>
      </c>
      <c r="G184" s="121">
        <v>5</v>
      </c>
      <c r="H184" s="151">
        <f t="shared" si="32"/>
        <v>1125</v>
      </c>
      <c r="I184" s="121">
        <v>23</v>
      </c>
      <c r="J184" s="151">
        <f t="shared" si="33"/>
        <v>-133.33333333333334</v>
      </c>
      <c r="K184" s="127">
        <v>0.02</v>
      </c>
      <c r="M184" s="376">
        <f t="shared" si="29"/>
        <v>46000</v>
      </c>
      <c r="N184" s="376">
        <f t="shared" si="30"/>
        <v>22500</v>
      </c>
      <c r="O184">
        <f t="shared" si="31"/>
        <v>2</v>
      </c>
    </row>
    <row r="185" spans="2:15" ht="16.44">
      <c r="B185" s="473"/>
      <c r="C185" s="92"/>
      <c r="D185" s="92"/>
      <c r="E185" s="2">
        <v>40756</v>
      </c>
      <c r="F185" s="2">
        <v>43132</v>
      </c>
      <c r="G185" s="121">
        <v>4.5</v>
      </c>
      <c r="H185" s="151">
        <f t="shared" si="32"/>
        <v>1012.5</v>
      </c>
      <c r="I185" s="121">
        <v>20</v>
      </c>
      <c r="J185" s="151">
        <f t="shared" si="33"/>
        <v>-400</v>
      </c>
      <c r="K185" s="127">
        <v>0.02</v>
      </c>
      <c r="M185" s="376">
        <f t="shared" si="29"/>
        <v>40000</v>
      </c>
      <c r="N185" s="376">
        <f t="shared" si="30"/>
        <v>20250</v>
      </c>
      <c r="O185">
        <f t="shared" si="31"/>
        <v>2</v>
      </c>
    </row>
    <row r="186" spans="2:15" ht="16.44">
      <c r="B186" s="473"/>
      <c r="C186" s="92"/>
      <c r="D186" s="92"/>
      <c r="E186" s="2">
        <v>40770</v>
      </c>
      <c r="F186" s="2">
        <v>43146</v>
      </c>
      <c r="G186" s="121">
        <v>4</v>
      </c>
      <c r="H186" s="151">
        <f t="shared" si="32"/>
        <v>900</v>
      </c>
      <c r="I186" s="121">
        <v>17</v>
      </c>
      <c r="J186" s="151">
        <f t="shared" si="33"/>
        <v>-400</v>
      </c>
      <c r="K186" s="127">
        <v>0.02</v>
      </c>
      <c r="M186" s="376">
        <f t="shared" si="29"/>
        <v>34000</v>
      </c>
      <c r="N186" s="376">
        <f t="shared" si="30"/>
        <v>18000</v>
      </c>
      <c r="O186">
        <f t="shared" si="31"/>
        <v>2</v>
      </c>
    </row>
    <row r="187" spans="2:15" ht="16.44">
      <c r="B187" s="473"/>
      <c r="C187" s="92"/>
      <c r="D187" s="92"/>
      <c r="E187" s="2">
        <v>40787</v>
      </c>
      <c r="F187" s="2">
        <v>43160</v>
      </c>
      <c r="G187" s="121">
        <v>3.5</v>
      </c>
      <c r="H187" s="151">
        <f t="shared" si="32"/>
        <v>787.5</v>
      </c>
      <c r="I187" s="121">
        <v>14</v>
      </c>
      <c r="J187" s="151">
        <f t="shared" si="33"/>
        <v>-400</v>
      </c>
      <c r="K187" s="127">
        <v>0.01</v>
      </c>
      <c r="M187" s="376">
        <f t="shared" si="29"/>
        <v>28000</v>
      </c>
      <c r="N187" s="376">
        <f t="shared" si="30"/>
        <v>15750</v>
      </c>
      <c r="O187">
        <f t="shared" si="31"/>
        <v>1</v>
      </c>
    </row>
    <row r="188" spans="2:15" ht="16.44">
      <c r="B188" s="473"/>
      <c r="C188" s="92"/>
      <c r="D188" s="92"/>
      <c r="E188" s="2">
        <v>40801</v>
      </c>
      <c r="F188" s="2">
        <v>43174</v>
      </c>
      <c r="G188" s="121">
        <v>4</v>
      </c>
      <c r="H188" s="151">
        <f t="shared" si="32"/>
        <v>900</v>
      </c>
      <c r="I188" s="121">
        <v>12</v>
      </c>
      <c r="J188" s="151">
        <f t="shared" si="33"/>
        <v>-266.66666666666669</v>
      </c>
      <c r="K188" s="127">
        <v>0.01</v>
      </c>
      <c r="M188" s="376">
        <f t="shared" si="29"/>
        <v>24000</v>
      </c>
      <c r="N188" s="376">
        <f t="shared" si="30"/>
        <v>18000</v>
      </c>
      <c r="O188">
        <f t="shared" si="31"/>
        <v>1</v>
      </c>
    </row>
    <row r="189" spans="2:15" ht="16.44">
      <c r="B189" s="473"/>
      <c r="C189" s="92"/>
      <c r="D189" s="92">
        <v>1</v>
      </c>
      <c r="E189" s="2">
        <v>40817</v>
      </c>
      <c r="F189" s="2">
        <v>43191</v>
      </c>
      <c r="G189" s="121">
        <v>5</v>
      </c>
      <c r="H189" s="151">
        <f t="shared" si="32"/>
        <v>1125</v>
      </c>
      <c r="I189" s="121">
        <v>10</v>
      </c>
      <c r="J189" s="151">
        <f t="shared" si="33"/>
        <v>-266.66666666666669</v>
      </c>
      <c r="K189" s="127">
        <v>0</v>
      </c>
      <c r="M189" s="376">
        <f t="shared" si="29"/>
        <v>20000</v>
      </c>
      <c r="N189" s="376">
        <f t="shared" si="30"/>
        <v>22500</v>
      </c>
      <c r="O189">
        <f t="shared" si="31"/>
        <v>0</v>
      </c>
    </row>
    <row r="190" spans="2:15" ht="16.44">
      <c r="B190" s="473"/>
      <c r="C190" s="92"/>
      <c r="D190" s="92">
        <v>1</v>
      </c>
      <c r="E190" s="2">
        <v>40831</v>
      </c>
      <c r="F190" s="2">
        <v>43205</v>
      </c>
      <c r="G190" s="121">
        <v>4</v>
      </c>
      <c r="H190" s="151">
        <f t="shared" si="32"/>
        <v>900</v>
      </c>
      <c r="I190" s="121">
        <v>9</v>
      </c>
      <c r="J190" s="151">
        <f t="shared" si="33"/>
        <v>-133.33333333333334</v>
      </c>
      <c r="K190" s="127">
        <v>0</v>
      </c>
      <c r="M190" s="376">
        <f t="shared" si="29"/>
        <v>18000</v>
      </c>
      <c r="N190" s="376">
        <f t="shared" si="30"/>
        <v>18000</v>
      </c>
      <c r="O190">
        <f t="shared" si="31"/>
        <v>0</v>
      </c>
    </row>
    <row r="191" spans="2:15" ht="16.44">
      <c r="B191" s="473"/>
      <c r="C191" s="92">
        <v>1</v>
      </c>
      <c r="D191" s="92"/>
      <c r="E191" s="2">
        <v>40848</v>
      </c>
      <c r="F191" s="2">
        <v>43221</v>
      </c>
      <c r="G191" s="121">
        <v>1</v>
      </c>
      <c r="H191" s="151">
        <f t="shared" si="32"/>
        <v>225</v>
      </c>
      <c r="I191" s="121">
        <v>8</v>
      </c>
      <c r="J191" s="151">
        <f t="shared" si="33"/>
        <v>-133.33333333333334</v>
      </c>
      <c r="K191" s="127">
        <v>0</v>
      </c>
      <c r="M191" s="376">
        <f t="shared" si="29"/>
        <v>16000</v>
      </c>
      <c r="N191" s="376">
        <f t="shared" si="30"/>
        <v>4500</v>
      </c>
      <c r="O191">
        <f t="shared" si="31"/>
        <v>0</v>
      </c>
    </row>
    <row r="192" spans="2:15" ht="16.44">
      <c r="B192" s="473"/>
      <c r="C192" s="92">
        <v>1</v>
      </c>
      <c r="D192" s="92"/>
      <c r="E192" s="2">
        <v>40862</v>
      </c>
      <c r="F192" s="2">
        <v>43235</v>
      </c>
      <c r="G192" s="121">
        <v>0</v>
      </c>
      <c r="H192" s="151">
        <f t="shared" si="32"/>
        <v>0</v>
      </c>
      <c r="I192" s="121">
        <v>7</v>
      </c>
      <c r="J192" s="151">
        <f t="shared" si="33"/>
        <v>-133.33333333333334</v>
      </c>
      <c r="K192" s="127">
        <v>0</v>
      </c>
      <c r="M192" s="376">
        <f t="shared" si="29"/>
        <v>14000</v>
      </c>
      <c r="N192" s="376">
        <f t="shared" si="30"/>
        <v>0</v>
      </c>
      <c r="O192">
        <f t="shared" si="31"/>
        <v>0</v>
      </c>
    </row>
    <row r="193" spans="2:15" ht="16.44">
      <c r="B193" s="473"/>
      <c r="C193" s="92">
        <v>1</v>
      </c>
      <c r="D193" s="92"/>
      <c r="E193" s="2">
        <v>40878</v>
      </c>
      <c r="F193" s="2">
        <v>43252</v>
      </c>
      <c r="G193" s="121">
        <v>0</v>
      </c>
      <c r="H193" s="151">
        <f t="shared" si="32"/>
        <v>0</v>
      </c>
      <c r="I193" s="121">
        <v>6</v>
      </c>
      <c r="J193" s="151">
        <f t="shared" si="33"/>
        <v>-133.33333333333334</v>
      </c>
      <c r="K193" s="127">
        <v>0</v>
      </c>
      <c r="M193" s="376">
        <f t="shared" si="29"/>
        <v>12000</v>
      </c>
      <c r="N193" s="376">
        <f t="shared" si="30"/>
        <v>0</v>
      </c>
      <c r="O193">
        <f t="shared" si="31"/>
        <v>0</v>
      </c>
    </row>
    <row r="194" spans="2:15" ht="16.44">
      <c r="B194" s="473"/>
      <c r="C194" s="92">
        <v>1</v>
      </c>
      <c r="D194" s="92"/>
      <c r="E194" s="2">
        <v>40892</v>
      </c>
      <c r="F194" s="2">
        <v>43266</v>
      </c>
      <c r="G194" s="121">
        <v>0</v>
      </c>
      <c r="H194" s="151">
        <f t="shared" si="32"/>
        <v>0</v>
      </c>
      <c r="I194" s="121">
        <v>6</v>
      </c>
      <c r="J194" s="151">
        <f t="shared" si="33"/>
        <v>0</v>
      </c>
      <c r="K194" s="127">
        <v>0</v>
      </c>
      <c r="M194" s="376">
        <f t="shared" si="29"/>
        <v>12000</v>
      </c>
      <c r="N194" s="376">
        <f t="shared" si="30"/>
        <v>0</v>
      </c>
      <c r="O194">
        <f t="shared" si="31"/>
        <v>0</v>
      </c>
    </row>
    <row r="195" spans="2:15">
      <c r="D195" s="372"/>
      <c r="E195" s="231">
        <v>43100</v>
      </c>
      <c r="F195" s="231">
        <v>43281</v>
      </c>
      <c r="G195" s="370">
        <v>0</v>
      </c>
      <c r="H195" s="151">
        <f t="shared" si="32"/>
        <v>0</v>
      </c>
      <c r="I195" s="370">
        <v>6</v>
      </c>
      <c r="J195" s="370">
        <f>K171</f>
        <v>0</v>
      </c>
      <c r="K195" s="247">
        <f>L171</f>
        <v>0</v>
      </c>
      <c r="L195" s="370"/>
      <c r="M195" s="370">
        <f>N171</f>
        <v>2250</v>
      </c>
      <c r="N195" s="370">
        <f>O171</f>
        <v>0</v>
      </c>
      <c r="O195" s="232">
        <f>P171</f>
        <v>0</v>
      </c>
    </row>
    <row r="196" spans="2:15">
      <c r="D196" s="118"/>
    </row>
    <row r="198" spans="2:15" ht="127.5" customHeight="1">
      <c r="B198" s="146" t="s">
        <v>339</v>
      </c>
      <c r="C198" s="119" t="s">
        <v>321</v>
      </c>
      <c r="D198" s="119" t="s">
        <v>322</v>
      </c>
      <c r="E198" s="367" t="s">
        <v>323</v>
      </c>
      <c r="F198" s="367" t="s">
        <v>324</v>
      </c>
      <c r="G198" s="119" t="s">
        <v>325</v>
      </c>
      <c r="H198" s="147" t="s">
        <v>326</v>
      </c>
      <c r="I198" s="122" t="s">
        <v>327</v>
      </c>
      <c r="J198" s="149" t="s">
        <v>328</v>
      </c>
      <c r="K198" s="249" t="s">
        <v>329</v>
      </c>
      <c r="M198" s="148" t="s">
        <v>330</v>
      </c>
      <c r="N198" s="367" t="s">
        <v>331</v>
      </c>
      <c r="O198" s="367" t="s">
        <v>332</v>
      </c>
    </row>
    <row r="199" spans="2:15">
      <c r="B199" s="476" t="s">
        <v>112</v>
      </c>
      <c r="C199" s="121">
        <v>1</v>
      </c>
      <c r="D199" s="121"/>
      <c r="E199" s="2">
        <v>40544</v>
      </c>
      <c r="F199" s="2">
        <v>42917</v>
      </c>
      <c r="G199" s="121">
        <v>0.5</v>
      </c>
      <c r="H199" s="151">
        <f t="shared" ref="H199:H222" si="34">N199/20</f>
        <v>112.5</v>
      </c>
      <c r="I199" s="121">
        <v>8</v>
      </c>
      <c r="K199" s="127">
        <v>0</v>
      </c>
      <c r="M199" s="376">
        <f t="shared" ref="M199:M222" si="35">I199*$N$2</f>
        <v>16000</v>
      </c>
      <c r="N199" s="376">
        <f t="shared" ref="N199:N222" si="36">G199*$N$3</f>
        <v>2250</v>
      </c>
      <c r="O199" s="153">
        <f t="shared" ref="O199:O222" si="37">K199*100</f>
        <v>0</v>
      </c>
    </row>
    <row r="200" spans="2:15">
      <c r="B200" s="476"/>
      <c r="C200" s="121">
        <v>1</v>
      </c>
      <c r="D200" s="121">
        <v>1</v>
      </c>
      <c r="E200" s="2">
        <v>40558</v>
      </c>
      <c r="F200" s="2">
        <v>42931</v>
      </c>
      <c r="G200" s="121">
        <v>2.5</v>
      </c>
      <c r="H200" s="151">
        <f t="shared" si="34"/>
        <v>562.5</v>
      </c>
      <c r="I200" s="121">
        <v>8</v>
      </c>
      <c r="J200" s="151">
        <f t="shared" ref="J200:J222" si="38">(M200-M199)/15</f>
        <v>0</v>
      </c>
      <c r="K200" s="127">
        <v>0</v>
      </c>
      <c r="M200" s="376">
        <f t="shared" si="35"/>
        <v>16000</v>
      </c>
      <c r="N200" s="376">
        <f t="shared" si="36"/>
        <v>11250</v>
      </c>
      <c r="O200" s="153">
        <f t="shared" si="37"/>
        <v>0</v>
      </c>
    </row>
    <row r="201" spans="2:15">
      <c r="B201" s="476"/>
      <c r="C201" s="121">
        <v>1</v>
      </c>
      <c r="D201" s="121">
        <v>1</v>
      </c>
      <c r="E201" s="2">
        <v>40575</v>
      </c>
      <c r="F201" s="2">
        <v>42948</v>
      </c>
      <c r="G201" s="121">
        <v>5</v>
      </c>
      <c r="H201" s="151">
        <f t="shared" si="34"/>
        <v>1125</v>
      </c>
      <c r="I201" s="121">
        <v>10</v>
      </c>
      <c r="J201" s="151">
        <f t="shared" si="38"/>
        <v>266.66666666666669</v>
      </c>
      <c r="K201" s="127">
        <v>0.02</v>
      </c>
      <c r="M201" s="376">
        <f t="shared" si="35"/>
        <v>20000</v>
      </c>
      <c r="N201" s="376">
        <f t="shared" si="36"/>
        <v>22500</v>
      </c>
      <c r="O201" s="153">
        <f t="shared" si="37"/>
        <v>2</v>
      </c>
    </row>
    <row r="202" spans="2:15">
      <c r="B202" s="476"/>
      <c r="C202" s="121">
        <v>1</v>
      </c>
      <c r="D202" s="121">
        <v>1</v>
      </c>
      <c r="E202" s="2">
        <v>40589</v>
      </c>
      <c r="F202" s="2">
        <v>42962</v>
      </c>
      <c r="G202" s="121">
        <v>6</v>
      </c>
      <c r="H202" s="151">
        <f t="shared" si="34"/>
        <v>1350</v>
      </c>
      <c r="I202" s="121">
        <v>12</v>
      </c>
      <c r="J202" s="151">
        <f t="shared" si="38"/>
        <v>266.66666666666669</v>
      </c>
      <c r="K202" s="127">
        <v>0.02</v>
      </c>
      <c r="M202" s="376">
        <f t="shared" si="35"/>
        <v>24000</v>
      </c>
      <c r="N202" s="376">
        <f t="shared" si="36"/>
        <v>27000</v>
      </c>
      <c r="O202" s="153">
        <f t="shared" si="37"/>
        <v>2</v>
      </c>
    </row>
    <row r="203" spans="2:15">
      <c r="B203" s="476"/>
      <c r="C203" s="121">
        <v>1</v>
      </c>
      <c r="D203" s="121">
        <v>1</v>
      </c>
      <c r="E203" s="2">
        <v>40603</v>
      </c>
      <c r="F203" s="2">
        <v>42979</v>
      </c>
      <c r="G203" s="121">
        <v>7</v>
      </c>
      <c r="H203" s="151">
        <f t="shared" si="34"/>
        <v>1575</v>
      </c>
      <c r="I203" s="121">
        <v>16</v>
      </c>
      <c r="J203" s="151">
        <f t="shared" si="38"/>
        <v>533.33333333333337</v>
      </c>
      <c r="K203" s="127">
        <v>0.03</v>
      </c>
      <c r="M203" s="376">
        <f t="shared" si="35"/>
        <v>32000</v>
      </c>
      <c r="N203" s="376">
        <f t="shared" si="36"/>
        <v>31500</v>
      </c>
      <c r="O203" s="153">
        <f t="shared" si="37"/>
        <v>3</v>
      </c>
    </row>
    <row r="204" spans="2:15">
      <c r="B204" s="476"/>
      <c r="C204" s="121"/>
      <c r="D204" s="121">
        <v>1</v>
      </c>
      <c r="E204" s="2">
        <v>40617</v>
      </c>
      <c r="F204" s="2">
        <v>42993</v>
      </c>
      <c r="G204" s="121">
        <v>7</v>
      </c>
      <c r="H204" s="151">
        <f t="shared" si="34"/>
        <v>1575</v>
      </c>
      <c r="I204" s="121">
        <v>20</v>
      </c>
      <c r="J204" s="151">
        <f t="shared" si="38"/>
        <v>533.33333333333337</v>
      </c>
      <c r="K204" s="127">
        <v>0.08</v>
      </c>
      <c r="M204" s="376">
        <f t="shared" si="35"/>
        <v>40000</v>
      </c>
      <c r="N204" s="376">
        <f t="shared" si="36"/>
        <v>31500</v>
      </c>
      <c r="O204" s="153">
        <f t="shared" si="37"/>
        <v>8</v>
      </c>
    </row>
    <row r="205" spans="2:15">
      <c r="B205" s="476"/>
      <c r="C205" s="121"/>
      <c r="D205" s="121">
        <v>1</v>
      </c>
      <c r="E205" s="2">
        <v>40634</v>
      </c>
      <c r="F205" s="2">
        <v>43009</v>
      </c>
      <c r="G205" s="121">
        <v>3</v>
      </c>
      <c r="H205" s="151">
        <f t="shared" si="34"/>
        <v>675</v>
      </c>
      <c r="I205" s="121">
        <v>5</v>
      </c>
      <c r="J205" s="151">
        <f t="shared" si="38"/>
        <v>-2000</v>
      </c>
      <c r="K205" s="127">
        <v>0.1</v>
      </c>
      <c r="M205" s="376">
        <f t="shared" si="35"/>
        <v>10000</v>
      </c>
      <c r="N205" s="376">
        <f t="shared" si="36"/>
        <v>13500</v>
      </c>
      <c r="O205" s="153">
        <f t="shared" si="37"/>
        <v>10</v>
      </c>
    </row>
    <row r="206" spans="2:15">
      <c r="B206" s="476"/>
      <c r="C206" s="121"/>
      <c r="D206" s="121">
        <v>1</v>
      </c>
      <c r="E206" s="2">
        <v>40648</v>
      </c>
      <c r="F206" s="2">
        <v>43023</v>
      </c>
      <c r="G206" s="121">
        <v>3</v>
      </c>
      <c r="H206" s="151">
        <f t="shared" si="34"/>
        <v>675</v>
      </c>
      <c r="I206" s="121">
        <v>5</v>
      </c>
      <c r="J206" s="151">
        <f t="shared" si="38"/>
        <v>0</v>
      </c>
      <c r="K206" s="127">
        <v>0.01</v>
      </c>
      <c r="M206" s="376">
        <f t="shared" si="35"/>
        <v>10000</v>
      </c>
      <c r="N206" s="376">
        <f t="shared" si="36"/>
        <v>13500</v>
      </c>
      <c r="O206" s="153">
        <f t="shared" si="37"/>
        <v>1</v>
      </c>
    </row>
    <row r="207" spans="2:15">
      <c r="B207" s="476"/>
      <c r="C207" s="121"/>
      <c r="D207" s="121">
        <v>1</v>
      </c>
      <c r="E207" s="2">
        <v>40664</v>
      </c>
      <c r="F207" s="2">
        <v>43040</v>
      </c>
      <c r="G207" s="121">
        <v>5</v>
      </c>
      <c r="H207" s="151">
        <f t="shared" si="34"/>
        <v>1125</v>
      </c>
      <c r="I207" s="121">
        <v>7</v>
      </c>
      <c r="J207" s="151">
        <f t="shared" si="38"/>
        <v>266.66666666666669</v>
      </c>
      <c r="K207" s="127">
        <v>0.03</v>
      </c>
      <c r="M207" s="376">
        <f t="shared" si="35"/>
        <v>14000</v>
      </c>
      <c r="N207" s="376">
        <f t="shared" si="36"/>
        <v>22500</v>
      </c>
      <c r="O207" s="153">
        <f t="shared" si="37"/>
        <v>3</v>
      </c>
    </row>
    <row r="208" spans="2:15">
      <c r="B208" s="476"/>
      <c r="C208" s="121"/>
      <c r="D208" s="121">
        <v>1</v>
      </c>
      <c r="E208" s="2">
        <v>40678</v>
      </c>
      <c r="F208" s="2">
        <v>43054</v>
      </c>
      <c r="G208" s="121">
        <v>6</v>
      </c>
      <c r="H208" s="151">
        <f t="shared" si="34"/>
        <v>1350</v>
      </c>
      <c r="I208" s="121">
        <v>10</v>
      </c>
      <c r="J208" s="151">
        <f t="shared" si="38"/>
        <v>400</v>
      </c>
      <c r="K208" s="127">
        <v>0.05</v>
      </c>
      <c r="M208" s="376">
        <f t="shared" si="35"/>
        <v>20000</v>
      </c>
      <c r="N208" s="376">
        <f t="shared" si="36"/>
        <v>27000</v>
      </c>
      <c r="O208" s="153">
        <f t="shared" si="37"/>
        <v>5</v>
      </c>
    </row>
    <row r="209" spans="2:15">
      <c r="B209" s="476"/>
      <c r="C209" s="121"/>
      <c r="D209" s="121">
        <v>1</v>
      </c>
      <c r="E209" s="2">
        <v>40695</v>
      </c>
      <c r="F209" s="2">
        <v>43070</v>
      </c>
      <c r="G209" s="121">
        <v>7</v>
      </c>
      <c r="H209" s="151">
        <f t="shared" si="34"/>
        <v>1575</v>
      </c>
      <c r="I209" s="121">
        <v>14</v>
      </c>
      <c r="J209" s="151">
        <f t="shared" si="38"/>
        <v>533.33333333333337</v>
      </c>
      <c r="K209" s="127">
        <v>0.05</v>
      </c>
      <c r="M209" s="376">
        <f t="shared" si="35"/>
        <v>28000</v>
      </c>
      <c r="N209" s="376">
        <f t="shared" si="36"/>
        <v>31500</v>
      </c>
      <c r="O209" s="153">
        <f t="shared" si="37"/>
        <v>5</v>
      </c>
    </row>
    <row r="210" spans="2:15">
      <c r="B210" s="476"/>
      <c r="C210" s="121"/>
      <c r="D210" s="121">
        <v>1</v>
      </c>
      <c r="E210" s="2">
        <v>40709</v>
      </c>
      <c r="F210" s="2">
        <v>43084</v>
      </c>
      <c r="G210" s="121">
        <v>7</v>
      </c>
      <c r="H210" s="151">
        <f t="shared" si="34"/>
        <v>1575</v>
      </c>
      <c r="I210" s="121">
        <v>18</v>
      </c>
      <c r="J210" s="151">
        <f t="shared" si="38"/>
        <v>533.33333333333337</v>
      </c>
      <c r="K210" s="127">
        <v>0.05</v>
      </c>
      <c r="M210" s="376">
        <f t="shared" si="35"/>
        <v>36000</v>
      </c>
      <c r="N210" s="376">
        <f t="shared" si="36"/>
        <v>31500</v>
      </c>
      <c r="O210" s="153">
        <f t="shared" si="37"/>
        <v>5</v>
      </c>
    </row>
    <row r="211" spans="2:15">
      <c r="B211" s="476"/>
      <c r="C211" s="121"/>
      <c r="D211" s="121"/>
      <c r="E211" s="2">
        <v>40725</v>
      </c>
      <c r="F211" s="2">
        <v>43101</v>
      </c>
      <c r="G211" s="121">
        <v>6</v>
      </c>
      <c r="H211" s="151">
        <f t="shared" si="34"/>
        <v>1350</v>
      </c>
      <c r="I211" s="121">
        <v>21</v>
      </c>
      <c r="J211" s="151">
        <f t="shared" si="38"/>
        <v>400</v>
      </c>
      <c r="K211" s="127">
        <v>0.02</v>
      </c>
      <c r="M211" s="376">
        <f t="shared" si="35"/>
        <v>42000</v>
      </c>
      <c r="N211" s="376">
        <f t="shared" si="36"/>
        <v>27000</v>
      </c>
      <c r="O211" s="153">
        <f t="shared" si="37"/>
        <v>2</v>
      </c>
    </row>
    <row r="212" spans="2:15">
      <c r="B212" s="476"/>
      <c r="C212" s="121"/>
      <c r="D212" s="121"/>
      <c r="E212" s="2">
        <v>40739</v>
      </c>
      <c r="F212" s="2">
        <v>43115</v>
      </c>
      <c r="G212" s="121">
        <v>5</v>
      </c>
      <c r="H212" s="151">
        <f t="shared" si="34"/>
        <v>1125</v>
      </c>
      <c r="I212" s="123">
        <v>22</v>
      </c>
      <c r="J212" s="151">
        <f t="shared" si="38"/>
        <v>133.33333333333334</v>
      </c>
      <c r="K212" s="127">
        <v>0.01</v>
      </c>
      <c r="M212" s="376">
        <f t="shared" si="35"/>
        <v>44000</v>
      </c>
      <c r="N212" s="376">
        <f t="shared" si="36"/>
        <v>22500</v>
      </c>
      <c r="O212" s="153">
        <f t="shared" si="37"/>
        <v>1</v>
      </c>
    </row>
    <row r="213" spans="2:15">
      <c r="B213" s="476"/>
      <c r="C213" s="121"/>
      <c r="D213" s="121"/>
      <c r="E213" s="2">
        <v>40756</v>
      </c>
      <c r="F213" s="2">
        <v>43132</v>
      </c>
      <c r="G213" s="121">
        <v>3.5</v>
      </c>
      <c r="H213" s="151">
        <f t="shared" si="34"/>
        <v>787.5</v>
      </c>
      <c r="I213" s="121">
        <v>20</v>
      </c>
      <c r="J213" s="151">
        <f t="shared" si="38"/>
        <v>-266.66666666666669</v>
      </c>
      <c r="K213" s="127">
        <v>5.0000000000000001E-3</v>
      </c>
      <c r="M213" s="376">
        <f t="shared" si="35"/>
        <v>40000</v>
      </c>
      <c r="N213" s="376">
        <f t="shared" si="36"/>
        <v>15750</v>
      </c>
      <c r="O213" s="153">
        <f t="shared" si="37"/>
        <v>0.5</v>
      </c>
    </row>
    <row r="214" spans="2:15">
      <c r="B214" s="476"/>
      <c r="C214" s="121"/>
      <c r="D214" s="121"/>
      <c r="E214" s="2">
        <v>40770</v>
      </c>
      <c r="F214" s="2">
        <v>43146</v>
      </c>
      <c r="G214" s="121">
        <v>3.5</v>
      </c>
      <c r="H214" s="151">
        <f t="shared" si="34"/>
        <v>787.5</v>
      </c>
      <c r="I214" s="121">
        <v>17</v>
      </c>
      <c r="J214" s="151">
        <f t="shared" si="38"/>
        <v>-400</v>
      </c>
      <c r="K214" s="127">
        <v>5.0000000000000001E-3</v>
      </c>
      <c r="M214" s="376">
        <f t="shared" si="35"/>
        <v>34000</v>
      </c>
      <c r="N214" s="376">
        <f t="shared" si="36"/>
        <v>15750</v>
      </c>
      <c r="O214" s="153">
        <f t="shared" si="37"/>
        <v>0.5</v>
      </c>
    </row>
    <row r="215" spans="2:15">
      <c r="B215" s="476"/>
      <c r="C215" s="121"/>
      <c r="D215" s="121"/>
      <c r="E215" s="2">
        <v>40787</v>
      </c>
      <c r="F215" s="2">
        <v>43160</v>
      </c>
      <c r="G215" s="121">
        <v>2</v>
      </c>
      <c r="H215" s="151">
        <f t="shared" si="34"/>
        <v>450</v>
      </c>
      <c r="I215" s="121">
        <v>14</v>
      </c>
      <c r="J215" s="151">
        <f t="shared" si="38"/>
        <v>-400</v>
      </c>
      <c r="K215" s="127">
        <v>2.5000000000000001E-3</v>
      </c>
      <c r="M215" s="376">
        <f t="shared" si="35"/>
        <v>28000</v>
      </c>
      <c r="N215" s="376">
        <f t="shared" si="36"/>
        <v>9000</v>
      </c>
      <c r="O215" s="153">
        <f t="shared" si="37"/>
        <v>0.25</v>
      </c>
    </row>
    <row r="216" spans="2:15">
      <c r="B216" s="476"/>
      <c r="C216" s="121"/>
      <c r="D216" s="121"/>
      <c r="E216" s="2">
        <v>40801</v>
      </c>
      <c r="F216" s="2">
        <v>43174</v>
      </c>
      <c r="G216" s="121">
        <v>3</v>
      </c>
      <c r="H216" s="151">
        <f t="shared" si="34"/>
        <v>675</v>
      </c>
      <c r="I216" s="121">
        <v>12</v>
      </c>
      <c r="J216" s="151">
        <f t="shared" si="38"/>
        <v>-266.66666666666669</v>
      </c>
      <c r="K216" s="127">
        <v>0</v>
      </c>
      <c r="M216" s="376">
        <f t="shared" si="35"/>
        <v>24000</v>
      </c>
      <c r="N216" s="376">
        <f t="shared" si="36"/>
        <v>13500</v>
      </c>
      <c r="O216" s="153">
        <f t="shared" si="37"/>
        <v>0</v>
      </c>
    </row>
    <row r="217" spans="2:15">
      <c r="B217" s="476"/>
      <c r="C217" s="121"/>
      <c r="D217" s="121">
        <v>1</v>
      </c>
      <c r="E217" s="2">
        <v>40817</v>
      </c>
      <c r="F217" s="2">
        <v>43191</v>
      </c>
      <c r="G217" s="121">
        <v>3</v>
      </c>
      <c r="H217" s="151">
        <f t="shared" si="34"/>
        <v>675</v>
      </c>
      <c r="I217" s="121">
        <v>10</v>
      </c>
      <c r="J217" s="151">
        <f t="shared" si="38"/>
        <v>-266.66666666666669</v>
      </c>
      <c r="K217" s="127">
        <v>0</v>
      </c>
      <c r="M217" s="376">
        <f t="shared" si="35"/>
        <v>20000</v>
      </c>
      <c r="N217" s="376">
        <f t="shared" si="36"/>
        <v>13500</v>
      </c>
      <c r="O217" s="153">
        <f t="shared" si="37"/>
        <v>0</v>
      </c>
    </row>
    <row r="218" spans="2:15">
      <c r="B218" s="476"/>
      <c r="C218" s="121"/>
      <c r="D218" s="121">
        <v>1</v>
      </c>
      <c r="E218" s="2">
        <v>40831</v>
      </c>
      <c r="F218" s="2">
        <v>43205</v>
      </c>
      <c r="G218" s="121">
        <v>2.5</v>
      </c>
      <c r="H218" s="151">
        <f t="shared" si="34"/>
        <v>562.5</v>
      </c>
      <c r="I218" s="121">
        <v>9</v>
      </c>
      <c r="J218" s="151">
        <f t="shared" si="38"/>
        <v>-133.33333333333334</v>
      </c>
      <c r="K218" s="127">
        <v>0</v>
      </c>
      <c r="M218" s="376">
        <f t="shared" si="35"/>
        <v>18000</v>
      </c>
      <c r="N218" s="376">
        <f t="shared" si="36"/>
        <v>11250</v>
      </c>
      <c r="O218" s="153">
        <f t="shared" si="37"/>
        <v>0</v>
      </c>
    </row>
    <row r="219" spans="2:15">
      <c r="B219" s="476"/>
      <c r="C219" s="121">
        <v>1</v>
      </c>
      <c r="D219" s="121"/>
      <c r="E219" s="2">
        <v>40848</v>
      </c>
      <c r="F219" s="2">
        <v>43221</v>
      </c>
      <c r="G219" s="121">
        <v>2</v>
      </c>
      <c r="H219" s="151">
        <f t="shared" si="34"/>
        <v>450</v>
      </c>
      <c r="I219" s="121">
        <v>8</v>
      </c>
      <c r="J219" s="151">
        <f t="shared" si="38"/>
        <v>-133.33333333333334</v>
      </c>
      <c r="K219" s="127">
        <v>0</v>
      </c>
      <c r="M219" s="376">
        <f t="shared" si="35"/>
        <v>16000</v>
      </c>
      <c r="N219" s="376">
        <f t="shared" si="36"/>
        <v>9000</v>
      </c>
      <c r="O219" s="153">
        <f t="shared" si="37"/>
        <v>0</v>
      </c>
    </row>
    <row r="220" spans="2:15">
      <c r="B220" s="476"/>
      <c r="C220" s="121">
        <v>1</v>
      </c>
      <c r="D220" s="121"/>
      <c r="E220" s="2">
        <v>40862</v>
      </c>
      <c r="F220" s="2">
        <v>43235</v>
      </c>
      <c r="G220" s="121">
        <v>0.5</v>
      </c>
      <c r="H220" s="151">
        <f t="shared" si="34"/>
        <v>112.5</v>
      </c>
      <c r="I220" s="121">
        <v>7</v>
      </c>
      <c r="J220" s="151">
        <f t="shared" si="38"/>
        <v>-133.33333333333334</v>
      </c>
      <c r="K220" s="127">
        <v>0</v>
      </c>
      <c r="M220" s="376">
        <f t="shared" si="35"/>
        <v>14000</v>
      </c>
      <c r="N220" s="376">
        <f t="shared" si="36"/>
        <v>2250</v>
      </c>
      <c r="O220" s="153">
        <f t="shared" si="37"/>
        <v>0</v>
      </c>
    </row>
    <row r="221" spans="2:15">
      <c r="B221" s="476"/>
      <c r="C221" s="121">
        <v>1</v>
      </c>
      <c r="D221" s="121"/>
      <c r="E221" s="2">
        <v>40878</v>
      </c>
      <c r="F221" s="2">
        <v>43252</v>
      </c>
      <c r="G221" s="121">
        <v>0.5</v>
      </c>
      <c r="H221" s="151">
        <f t="shared" si="34"/>
        <v>112.5</v>
      </c>
      <c r="I221" s="121">
        <v>8</v>
      </c>
      <c r="J221" s="151">
        <f t="shared" si="38"/>
        <v>133.33333333333334</v>
      </c>
      <c r="K221" s="127">
        <v>0</v>
      </c>
      <c r="M221" s="376">
        <f t="shared" si="35"/>
        <v>16000</v>
      </c>
      <c r="N221" s="376">
        <f t="shared" si="36"/>
        <v>2250</v>
      </c>
      <c r="O221" s="153">
        <f t="shared" si="37"/>
        <v>0</v>
      </c>
    </row>
    <row r="222" spans="2:15">
      <c r="B222" s="476"/>
      <c r="C222" s="121">
        <v>1</v>
      </c>
      <c r="D222" s="121"/>
      <c r="E222" s="2">
        <v>40892</v>
      </c>
      <c r="F222" s="2">
        <v>43266</v>
      </c>
      <c r="G222" s="121">
        <v>0</v>
      </c>
      <c r="H222" s="151">
        <f t="shared" si="34"/>
        <v>0</v>
      </c>
      <c r="I222" s="121">
        <v>8</v>
      </c>
      <c r="J222" s="151">
        <f t="shared" si="38"/>
        <v>0</v>
      </c>
      <c r="K222" s="127">
        <v>0</v>
      </c>
      <c r="M222" s="376">
        <f t="shared" si="35"/>
        <v>16000</v>
      </c>
      <c r="N222" s="376">
        <f t="shared" si="36"/>
        <v>0</v>
      </c>
      <c r="O222" s="153">
        <f t="shared" si="37"/>
        <v>0</v>
      </c>
    </row>
    <row r="223" spans="2:15">
      <c r="D223" s="372"/>
      <c r="E223" s="231">
        <v>43100</v>
      </c>
      <c r="F223" s="231">
        <v>43281</v>
      </c>
      <c r="G223" s="370">
        <v>0</v>
      </c>
      <c r="H223" s="370">
        <f>I199</f>
        <v>8</v>
      </c>
      <c r="I223" s="370">
        <v>8</v>
      </c>
      <c r="J223" s="370">
        <f>K199</f>
        <v>0</v>
      </c>
      <c r="K223" s="247">
        <f>L199</f>
        <v>0</v>
      </c>
      <c r="L223" s="370"/>
      <c r="M223" s="370">
        <f>N199</f>
        <v>2250</v>
      </c>
      <c r="N223" s="370">
        <f>O199</f>
        <v>0</v>
      </c>
      <c r="O223" s="232">
        <f>P199</f>
        <v>0</v>
      </c>
    </row>
    <row r="226" spans="2:27" ht="239.06">
      <c r="B226" s="146" t="s">
        <v>340</v>
      </c>
      <c r="C226" s="119" t="s">
        <v>321</v>
      </c>
      <c r="D226" s="119" t="s">
        <v>322</v>
      </c>
      <c r="E226" s="367" t="s">
        <v>323</v>
      </c>
      <c r="F226" s="367" t="s">
        <v>324</v>
      </c>
      <c r="G226" s="119" t="s">
        <v>325</v>
      </c>
      <c r="H226" s="147" t="s">
        <v>326</v>
      </c>
      <c r="I226" s="122" t="s">
        <v>327</v>
      </c>
      <c r="J226" s="149" t="s">
        <v>328</v>
      </c>
      <c r="K226" s="249" t="s">
        <v>329</v>
      </c>
      <c r="M226" s="148" t="s">
        <v>330</v>
      </c>
      <c r="N226" s="367" t="s">
        <v>331</v>
      </c>
      <c r="O226" s="367" t="s">
        <v>332</v>
      </c>
    </row>
    <row r="227" spans="2:27" ht="16.44">
      <c r="B227" s="477"/>
      <c r="C227" s="92">
        <v>1</v>
      </c>
      <c r="D227" s="92"/>
      <c r="E227" s="2">
        <v>40544</v>
      </c>
      <c r="F227" s="2">
        <v>42917</v>
      </c>
      <c r="G227" s="92">
        <v>0</v>
      </c>
      <c r="H227" s="151">
        <f t="shared" ref="H227:H250" si="39">N227/20</f>
        <v>0</v>
      </c>
      <c r="I227" s="92">
        <v>8</v>
      </c>
      <c r="J227" s="376"/>
      <c r="K227" s="245">
        <v>0</v>
      </c>
      <c r="M227" s="376">
        <f t="shared" ref="M227:M250" si="40">I227*$N$2</f>
        <v>16000</v>
      </c>
      <c r="N227" s="376">
        <f t="shared" ref="N227:N250" si="41">G227*$N$3</f>
        <v>0</v>
      </c>
      <c r="O227" s="153">
        <f t="shared" ref="O227:O250" si="42">K227*100</f>
        <v>0</v>
      </c>
    </row>
    <row r="228" spans="2:27" ht="16.44">
      <c r="B228" s="477"/>
      <c r="C228" s="92">
        <v>1</v>
      </c>
      <c r="D228" s="92"/>
      <c r="E228" s="2">
        <v>40558</v>
      </c>
      <c r="F228" s="2">
        <v>42931</v>
      </c>
      <c r="G228" s="92">
        <v>0.25</v>
      </c>
      <c r="H228" s="151">
        <f t="shared" si="39"/>
        <v>56.25</v>
      </c>
      <c r="I228" s="92">
        <v>8</v>
      </c>
      <c r="J228" s="151">
        <f t="shared" ref="J228:J250" si="43">(M228-M227)/15</f>
        <v>0</v>
      </c>
      <c r="K228" s="245">
        <v>0</v>
      </c>
      <c r="M228" s="376">
        <f t="shared" si="40"/>
        <v>16000</v>
      </c>
      <c r="N228" s="376">
        <f t="shared" si="41"/>
        <v>1125</v>
      </c>
      <c r="O228" s="153">
        <f t="shared" si="42"/>
        <v>0</v>
      </c>
    </row>
    <row r="229" spans="2:27" ht="16.44">
      <c r="B229" s="477"/>
      <c r="C229" s="92">
        <v>1</v>
      </c>
      <c r="D229" s="92"/>
      <c r="E229" s="2">
        <v>40575</v>
      </c>
      <c r="F229" s="2">
        <v>42948</v>
      </c>
      <c r="G229" s="92">
        <v>0.5</v>
      </c>
      <c r="H229" s="151">
        <f t="shared" si="39"/>
        <v>112.5</v>
      </c>
      <c r="I229" s="92">
        <v>8</v>
      </c>
      <c r="J229" s="151">
        <f t="shared" si="43"/>
        <v>0</v>
      </c>
      <c r="K229" s="245">
        <v>0</v>
      </c>
      <c r="M229" s="376">
        <f t="shared" si="40"/>
        <v>16000</v>
      </c>
      <c r="N229" s="376">
        <f t="shared" si="41"/>
        <v>2250</v>
      </c>
      <c r="O229" s="153">
        <f t="shared" si="42"/>
        <v>0</v>
      </c>
    </row>
    <row r="230" spans="2:27" ht="16.44">
      <c r="B230" s="477"/>
      <c r="C230" s="92">
        <v>1</v>
      </c>
      <c r="D230" s="92"/>
      <c r="E230" s="2">
        <v>40589</v>
      </c>
      <c r="F230" s="2">
        <v>42962</v>
      </c>
      <c r="G230" s="92">
        <v>0.5</v>
      </c>
      <c r="H230" s="151">
        <f t="shared" si="39"/>
        <v>112.5</v>
      </c>
      <c r="I230" s="92">
        <v>7</v>
      </c>
      <c r="J230" s="151">
        <f t="shared" si="43"/>
        <v>-133.33333333333334</v>
      </c>
      <c r="K230" s="245">
        <v>0</v>
      </c>
      <c r="M230" s="376">
        <f t="shared" si="40"/>
        <v>14000</v>
      </c>
      <c r="N230" s="376">
        <f t="shared" si="41"/>
        <v>2250</v>
      </c>
      <c r="O230" s="153">
        <f t="shared" si="42"/>
        <v>0</v>
      </c>
    </row>
    <row r="231" spans="2:27" ht="16.44">
      <c r="B231" s="477"/>
      <c r="C231" s="92">
        <v>1</v>
      </c>
      <c r="D231" s="92"/>
      <c r="E231" s="2">
        <v>40603</v>
      </c>
      <c r="F231" s="2">
        <v>42979</v>
      </c>
      <c r="G231" s="92">
        <v>1</v>
      </c>
      <c r="H231" s="151">
        <f t="shared" si="39"/>
        <v>225</v>
      </c>
      <c r="I231" s="92">
        <v>7</v>
      </c>
      <c r="J231" s="151">
        <f t="shared" si="43"/>
        <v>0</v>
      </c>
      <c r="K231" s="245">
        <v>0</v>
      </c>
      <c r="M231" s="376">
        <f t="shared" si="40"/>
        <v>14000</v>
      </c>
      <c r="N231" s="376">
        <f t="shared" si="41"/>
        <v>4500</v>
      </c>
      <c r="O231" s="153">
        <f t="shared" si="42"/>
        <v>0</v>
      </c>
    </row>
    <row r="232" spans="2:27" ht="16.44">
      <c r="B232" s="477"/>
      <c r="C232" s="92">
        <v>1</v>
      </c>
      <c r="D232" s="92"/>
      <c r="E232" s="2">
        <v>40617</v>
      </c>
      <c r="F232" s="2">
        <v>42993</v>
      </c>
      <c r="G232" s="92">
        <v>2</v>
      </c>
      <c r="H232" s="151">
        <f t="shared" si="39"/>
        <v>450</v>
      </c>
      <c r="I232" s="92">
        <v>6</v>
      </c>
      <c r="J232" s="151">
        <f t="shared" si="43"/>
        <v>-133.33333333333334</v>
      </c>
      <c r="K232" s="245">
        <v>0.02</v>
      </c>
      <c r="M232" s="376">
        <f t="shared" si="40"/>
        <v>12000</v>
      </c>
      <c r="N232" s="376">
        <f t="shared" si="41"/>
        <v>9000</v>
      </c>
      <c r="O232" s="153">
        <f t="shared" si="42"/>
        <v>2</v>
      </c>
      <c r="X232" s="155"/>
      <c r="Y232" s="155"/>
      <c r="Z232" s="155"/>
      <c r="AA232" s="155"/>
    </row>
    <row r="233" spans="2:27" ht="16.44">
      <c r="B233" s="477"/>
      <c r="C233" s="92"/>
      <c r="D233" s="92">
        <v>1</v>
      </c>
      <c r="E233" s="2">
        <v>40634</v>
      </c>
      <c r="F233" s="2">
        <v>43009</v>
      </c>
      <c r="G233" s="92">
        <v>3</v>
      </c>
      <c r="H233" s="151">
        <f t="shared" si="39"/>
        <v>675</v>
      </c>
      <c r="I233" s="92">
        <v>6</v>
      </c>
      <c r="J233" s="151">
        <f t="shared" si="43"/>
        <v>0</v>
      </c>
      <c r="K233" s="245">
        <v>0.03</v>
      </c>
      <c r="M233" s="376">
        <f t="shared" si="40"/>
        <v>12000</v>
      </c>
      <c r="N233" s="376">
        <f t="shared" si="41"/>
        <v>13500</v>
      </c>
      <c r="O233" s="153">
        <f t="shared" si="42"/>
        <v>3</v>
      </c>
      <c r="X233" s="155"/>
      <c r="Y233" s="155"/>
      <c r="Z233" s="155"/>
      <c r="AA233" s="155"/>
    </row>
    <row r="234" spans="2:27" ht="16.44">
      <c r="B234" s="477"/>
      <c r="C234" s="92"/>
      <c r="D234" s="92">
        <v>1</v>
      </c>
      <c r="E234" s="2">
        <v>40648</v>
      </c>
      <c r="F234" s="2">
        <v>43023</v>
      </c>
      <c r="G234" s="92">
        <v>5</v>
      </c>
      <c r="H234" s="151">
        <f t="shared" si="39"/>
        <v>1125</v>
      </c>
      <c r="I234" s="92">
        <v>8</v>
      </c>
      <c r="J234" s="151">
        <f t="shared" si="43"/>
        <v>266.66666666666669</v>
      </c>
      <c r="K234" s="245">
        <v>0.06</v>
      </c>
      <c r="M234" s="376">
        <f t="shared" si="40"/>
        <v>16000</v>
      </c>
      <c r="N234" s="376">
        <f t="shared" si="41"/>
        <v>22500</v>
      </c>
      <c r="O234" s="153">
        <f t="shared" si="42"/>
        <v>6</v>
      </c>
      <c r="X234" s="155"/>
      <c r="Y234" s="155"/>
      <c r="Z234" s="155"/>
      <c r="AA234" s="155"/>
    </row>
    <row r="235" spans="2:27" ht="16.44">
      <c r="B235" s="477"/>
      <c r="C235" s="92"/>
      <c r="D235" s="92">
        <v>1</v>
      </c>
      <c r="E235" s="2">
        <v>40664</v>
      </c>
      <c r="F235" s="2">
        <v>43040</v>
      </c>
      <c r="G235" s="92">
        <v>7</v>
      </c>
      <c r="H235" s="151">
        <f t="shared" si="39"/>
        <v>1575</v>
      </c>
      <c r="I235" s="92">
        <v>10</v>
      </c>
      <c r="J235" s="151">
        <f t="shared" si="43"/>
        <v>266.66666666666669</v>
      </c>
      <c r="K235" s="245">
        <v>0.1</v>
      </c>
      <c r="M235" s="376">
        <f t="shared" si="40"/>
        <v>20000</v>
      </c>
      <c r="N235" s="376">
        <f t="shared" si="41"/>
        <v>31500</v>
      </c>
      <c r="O235" s="153">
        <f t="shared" si="42"/>
        <v>10</v>
      </c>
      <c r="X235" s="155"/>
      <c r="Y235" s="155"/>
      <c r="Z235" s="155"/>
      <c r="AA235" s="155"/>
    </row>
    <row r="236" spans="2:27" ht="16.44">
      <c r="B236" s="477"/>
      <c r="C236" s="92"/>
      <c r="D236" s="92">
        <v>1</v>
      </c>
      <c r="E236" s="2">
        <v>40678</v>
      </c>
      <c r="F236" s="2">
        <v>43054</v>
      </c>
      <c r="G236" s="92">
        <v>2</v>
      </c>
      <c r="H236" s="151">
        <f t="shared" si="39"/>
        <v>450</v>
      </c>
      <c r="I236" s="92">
        <v>14</v>
      </c>
      <c r="J236" s="151">
        <f t="shared" si="43"/>
        <v>533.33333333333337</v>
      </c>
      <c r="K236" s="245">
        <v>0.1</v>
      </c>
      <c r="M236" s="376">
        <f t="shared" si="40"/>
        <v>28000</v>
      </c>
      <c r="N236" s="376">
        <f t="shared" si="41"/>
        <v>9000</v>
      </c>
      <c r="O236" s="153">
        <f t="shared" si="42"/>
        <v>10</v>
      </c>
      <c r="X236" s="155"/>
      <c r="Y236" s="155"/>
      <c r="Z236" s="155"/>
      <c r="AA236" s="155"/>
    </row>
    <row r="237" spans="2:27" ht="16.44">
      <c r="B237" s="477"/>
      <c r="C237" s="92"/>
      <c r="D237" s="92">
        <v>1</v>
      </c>
      <c r="E237" s="2">
        <v>40695</v>
      </c>
      <c r="F237" s="2">
        <v>43070</v>
      </c>
      <c r="G237" s="92">
        <v>6</v>
      </c>
      <c r="H237" s="151">
        <f t="shared" si="39"/>
        <v>1350</v>
      </c>
      <c r="I237" s="92">
        <v>8</v>
      </c>
      <c r="J237" s="151">
        <f t="shared" si="43"/>
        <v>-800</v>
      </c>
      <c r="K237" s="245">
        <v>0.05</v>
      </c>
      <c r="M237" s="376">
        <f t="shared" si="40"/>
        <v>16000</v>
      </c>
      <c r="N237" s="376">
        <f t="shared" si="41"/>
        <v>27000</v>
      </c>
      <c r="O237" s="153">
        <f t="shared" si="42"/>
        <v>5</v>
      </c>
      <c r="X237" s="155"/>
      <c r="Y237" s="155"/>
      <c r="Z237" s="155"/>
      <c r="AA237" s="155"/>
    </row>
    <row r="238" spans="2:27" ht="16.44">
      <c r="B238" s="477"/>
      <c r="C238" s="92"/>
      <c r="D238" s="92">
        <v>1</v>
      </c>
      <c r="E238" s="2">
        <v>40709</v>
      </c>
      <c r="F238" s="2">
        <v>43084</v>
      </c>
      <c r="G238" s="92">
        <v>6</v>
      </c>
      <c r="H238" s="151">
        <f t="shared" si="39"/>
        <v>1350</v>
      </c>
      <c r="I238" s="92">
        <v>12</v>
      </c>
      <c r="J238" s="151">
        <f t="shared" si="43"/>
        <v>533.33333333333337</v>
      </c>
      <c r="K238" s="245">
        <v>0.05</v>
      </c>
      <c r="M238" s="376">
        <f t="shared" si="40"/>
        <v>24000</v>
      </c>
      <c r="N238" s="376">
        <f t="shared" si="41"/>
        <v>27000</v>
      </c>
      <c r="O238" s="153">
        <f t="shared" si="42"/>
        <v>5</v>
      </c>
      <c r="X238" s="155"/>
      <c r="Y238" s="155"/>
      <c r="Z238" s="155"/>
      <c r="AA238" s="155"/>
    </row>
    <row r="239" spans="2:27" ht="16.44">
      <c r="B239" s="477"/>
      <c r="C239" s="92"/>
      <c r="D239" s="92">
        <v>1</v>
      </c>
      <c r="E239" s="2">
        <v>40725</v>
      </c>
      <c r="F239" s="2">
        <v>43101</v>
      </c>
      <c r="G239" s="92">
        <v>5.5</v>
      </c>
      <c r="H239" s="151">
        <f t="shared" si="39"/>
        <v>1237.5</v>
      </c>
      <c r="I239" s="92">
        <v>16</v>
      </c>
      <c r="J239" s="151">
        <f t="shared" si="43"/>
        <v>533.33333333333337</v>
      </c>
      <c r="K239" s="245">
        <v>0.05</v>
      </c>
      <c r="M239" s="376">
        <f t="shared" si="40"/>
        <v>32000</v>
      </c>
      <c r="N239" s="376">
        <f t="shared" si="41"/>
        <v>24750</v>
      </c>
      <c r="O239" s="153">
        <f t="shared" si="42"/>
        <v>5</v>
      </c>
      <c r="X239" s="155"/>
      <c r="Y239" s="155"/>
      <c r="Z239" s="155"/>
      <c r="AA239" s="155"/>
    </row>
    <row r="240" spans="2:27" ht="16.44">
      <c r="B240" s="477"/>
      <c r="C240" s="92"/>
      <c r="D240" s="92">
        <v>1</v>
      </c>
      <c r="E240" s="2">
        <v>40739</v>
      </c>
      <c r="F240" s="2">
        <v>43115</v>
      </c>
      <c r="G240" s="92">
        <v>5</v>
      </c>
      <c r="H240" s="151">
        <f t="shared" si="39"/>
        <v>1125</v>
      </c>
      <c r="I240" s="92">
        <v>21</v>
      </c>
      <c r="J240" s="151">
        <f t="shared" si="43"/>
        <v>666.66666666666663</v>
      </c>
      <c r="K240" s="245">
        <v>0.05</v>
      </c>
      <c r="M240" s="376">
        <f t="shared" si="40"/>
        <v>42000</v>
      </c>
      <c r="N240" s="376">
        <f t="shared" si="41"/>
        <v>22500</v>
      </c>
      <c r="O240" s="153">
        <f t="shared" si="42"/>
        <v>5</v>
      </c>
      <c r="X240" s="155"/>
      <c r="Y240" s="155"/>
      <c r="Z240" s="155"/>
      <c r="AA240" s="155"/>
    </row>
    <row r="241" spans="2:27" ht="16.44">
      <c r="B241" s="477"/>
      <c r="C241" s="92"/>
      <c r="D241" s="92">
        <v>1</v>
      </c>
      <c r="E241" s="2">
        <v>40756</v>
      </c>
      <c r="F241" s="2">
        <v>43132</v>
      </c>
      <c r="G241" s="92">
        <v>4.5</v>
      </c>
      <c r="H241" s="151">
        <f t="shared" si="39"/>
        <v>1012.5</v>
      </c>
      <c r="I241" s="92">
        <v>22</v>
      </c>
      <c r="J241" s="151">
        <f t="shared" si="43"/>
        <v>133.33333333333334</v>
      </c>
      <c r="K241" s="245">
        <v>0.05</v>
      </c>
      <c r="M241" s="376">
        <f t="shared" si="40"/>
        <v>44000</v>
      </c>
      <c r="N241" s="376">
        <f t="shared" si="41"/>
        <v>20250</v>
      </c>
      <c r="O241" s="153">
        <f t="shared" si="42"/>
        <v>5</v>
      </c>
      <c r="X241" s="155"/>
      <c r="Y241" s="155"/>
      <c r="Z241" s="155"/>
      <c r="AA241" s="155"/>
    </row>
    <row r="242" spans="2:27" ht="16.44">
      <c r="B242" s="477"/>
      <c r="C242" s="92"/>
      <c r="D242" s="92">
        <v>1</v>
      </c>
      <c r="E242" s="2">
        <v>40770</v>
      </c>
      <c r="F242" s="2">
        <v>43146</v>
      </c>
      <c r="G242" s="92">
        <v>4</v>
      </c>
      <c r="H242" s="151">
        <f t="shared" si="39"/>
        <v>900</v>
      </c>
      <c r="I242" s="92">
        <v>22</v>
      </c>
      <c r="J242" s="151">
        <f t="shared" si="43"/>
        <v>0</v>
      </c>
      <c r="K242" s="245">
        <v>0.05</v>
      </c>
      <c r="M242" s="376">
        <f t="shared" si="40"/>
        <v>44000</v>
      </c>
      <c r="N242" s="376">
        <f t="shared" si="41"/>
        <v>18000</v>
      </c>
      <c r="O242" s="153">
        <f t="shared" si="42"/>
        <v>5</v>
      </c>
      <c r="X242" s="155"/>
      <c r="Y242" s="155"/>
      <c r="Z242" s="155"/>
      <c r="AA242" s="155"/>
    </row>
    <row r="243" spans="2:27" ht="16.44">
      <c r="B243" s="477"/>
      <c r="C243" s="92"/>
      <c r="D243" s="92"/>
      <c r="E243" s="2">
        <v>40787</v>
      </c>
      <c r="F243" s="2">
        <v>43160</v>
      </c>
      <c r="G243" s="92">
        <v>3.5</v>
      </c>
      <c r="H243" s="151">
        <f t="shared" si="39"/>
        <v>787.5</v>
      </c>
      <c r="I243" s="92">
        <v>19</v>
      </c>
      <c r="J243" s="151">
        <f t="shared" si="43"/>
        <v>-400</v>
      </c>
      <c r="K243" s="245">
        <v>0.02</v>
      </c>
      <c r="M243" s="376">
        <f t="shared" si="40"/>
        <v>38000</v>
      </c>
      <c r="N243" s="376">
        <f t="shared" si="41"/>
        <v>15750</v>
      </c>
      <c r="O243" s="153">
        <f t="shared" si="42"/>
        <v>2</v>
      </c>
      <c r="X243" s="155"/>
      <c r="Y243" s="155"/>
      <c r="Z243" s="155"/>
      <c r="AA243" s="155"/>
    </row>
    <row r="244" spans="2:27" ht="16.44">
      <c r="B244" s="477"/>
      <c r="C244" s="92"/>
      <c r="D244" s="92"/>
      <c r="E244" s="2">
        <v>40801</v>
      </c>
      <c r="F244" s="2">
        <v>43174</v>
      </c>
      <c r="G244" s="92">
        <v>4</v>
      </c>
      <c r="H244" s="151">
        <f t="shared" si="39"/>
        <v>900</v>
      </c>
      <c r="I244" s="92">
        <v>16</v>
      </c>
      <c r="J244" s="151">
        <f t="shared" si="43"/>
        <v>-400</v>
      </c>
      <c r="K244" s="245">
        <v>0.02</v>
      </c>
      <c r="M244" s="376">
        <f t="shared" si="40"/>
        <v>32000</v>
      </c>
      <c r="N244" s="376">
        <f t="shared" si="41"/>
        <v>18000</v>
      </c>
      <c r="O244" s="153">
        <f t="shared" si="42"/>
        <v>2</v>
      </c>
      <c r="X244" s="155"/>
      <c r="Y244" s="155"/>
      <c r="Z244" s="155"/>
      <c r="AA244" s="155"/>
    </row>
    <row r="245" spans="2:27" ht="16.44">
      <c r="B245" s="477"/>
      <c r="C245" s="92">
        <v>1</v>
      </c>
      <c r="D245" s="92"/>
      <c r="E245" s="2">
        <v>40817</v>
      </c>
      <c r="F245" s="2">
        <v>43191</v>
      </c>
      <c r="G245" s="92">
        <v>2</v>
      </c>
      <c r="H245" s="151">
        <f t="shared" si="39"/>
        <v>450</v>
      </c>
      <c r="I245" s="92">
        <v>15</v>
      </c>
      <c r="J245" s="151">
        <f t="shared" si="43"/>
        <v>-133.33333333333334</v>
      </c>
      <c r="K245" s="245">
        <v>0</v>
      </c>
      <c r="M245" s="376">
        <f t="shared" si="40"/>
        <v>30000</v>
      </c>
      <c r="N245" s="376">
        <f t="shared" si="41"/>
        <v>9000</v>
      </c>
      <c r="O245" s="153">
        <f t="shared" si="42"/>
        <v>0</v>
      </c>
      <c r="X245" s="155"/>
      <c r="Y245" s="155"/>
      <c r="Z245" s="155"/>
      <c r="AA245" s="155"/>
    </row>
    <row r="246" spans="2:27" ht="16.44">
      <c r="B246" s="477"/>
      <c r="C246" s="92">
        <v>1</v>
      </c>
      <c r="D246" s="92"/>
      <c r="E246" s="2">
        <v>40831</v>
      </c>
      <c r="F246" s="2">
        <v>43205</v>
      </c>
      <c r="G246" s="92">
        <v>0.5</v>
      </c>
      <c r="H246" s="151">
        <f t="shared" si="39"/>
        <v>112.5</v>
      </c>
      <c r="I246" s="92">
        <v>12</v>
      </c>
      <c r="J246" s="151">
        <f t="shared" si="43"/>
        <v>-400</v>
      </c>
      <c r="K246" s="245">
        <v>0</v>
      </c>
      <c r="M246" s="376">
        <f t="shared" si="40"/>
        <v>24000</v>
      </c>
      <c r="N246" s="376">
        <f t="shared" si="41"/>
        <v>2250</v>
      </c>
      <c r="O246" s="153">
        <f t="shared" si="42"/>
        <v>0</v>
      </c>
      <c r="X246" s="155"/>
      <c r="Y246" s="155"/>
      <c r="Z246" s="155"/>
      <c r="AA246" s="155"/>
    </row>
    <row r="247" spans="2:27" ht="16.44">
      <c r="B247" s="477"/>
      <c r="C247" s="92">
        <v>1</v>
      </c>
      <c r="D247" s="92"/>
      <c r="E247" s="2">
        <v>40848</v>
      </c>
      <c r="F247" s="2">
        <v>43221</v>
      </c>
      <c r="G247" s="92">
        <v>0</v>
      </c>
      <c r="H247" s="151">
        <f t="shared" si="39"/>
        <v>0</v>
      </c>
      <c r="I247" s="92">
        <v>8</v>
      </c>
      <c r="J247" s="151">
        <f t="shared" si="43"/>
        <v>-533.33333333333337</v>
      </c>
      <c r="K247" s="245">
        <v>0</v>
      </c>
      <c r="M247" s="376">
        <f t="shared" si="40"/>
        <v>16000</v>
      </c>
      <c r="N247" s="376">
        <f t="shared" si="41"/>
        <v>0</v>
      </c>
      <c r="O247" s="153">
        <f t="shared" si="42"/>
        <v>0</v>
      </c>
      <c r="X247" s="155"/>
      <c r="Y247" s="155"/>
      <c r="Z247" s="155"/>
      <c r="AA247" s="155"/>
    </row>
    <row r="248" spans="2:27" ht="16.44">
      <c r="B248" s="477"/>
      <c r="C248" s="92">
        <v>1</v>
      </c>
      <c r="D248" s="92"/>
      <c r="E248" s="2">
        <v>40862</v>
      </c>
      <c r="F248" s="2">
        <v>43235</v>
      </c>
      <c r="G248" s="92">
        <v>0</v>
      </c>
      <c r="H248" s="151">
        <f t="shared" si="39"/>
        <v>0</v>
      </c>
      <c r="I248" s="92">
        <v>7</v>
      </c>
      <c r="J248" s="151">
        <f t="shared" si="43"/>
        <v>-133.33333333333334</v>
      </c>
      <c r="K248" s="245">
        <v>0</v>
      </c>
      <c r="M248" s="376">
        <f t="shared" si="40"/>
        <v>14000</v>
      </c>
      <c r="N248" s="376">
        <f t="shared" si="41"/>
        <v>0</v>
      </c>
      <c r="O248" s="153">
        <f t="shared" si="42"/>
        <v>0</v>
      </c>
      <c r="X248" s="155"/>
      <c r="Y248" s="155"/>
      <c r="Z248" s="155"/>
      <c r="AA248" s="155"/>
    </row>
    <row r="249" spans="2:27" ht="16.44">
      <c r="B249" s="477"/>
      <c r="C249" s="92">
        <v>1</v>
      </c>
      <c r="D249" s="92"/>
      <c r="E249" s="2">
        <v>40878</v>
      </c>
      <c r="F249" s="2">
        <v>43252</v>
      </c>
      <c r="G249" s="92">
        <v>0</v>
      </c>
      <c r="H249" s="151">
        <f t="shared" si="39"/>
        <v>0</v>
      </c>
      <c r="I249" s="92">
        <v>7</v>
      </c>
      <c r="J249" s="151">
        <f t="shared" si="43"/>
        <v>0</v>
      </c>
      <c r="K249" s="245">
        <v>0</v>
      </c>
      <c r="M249" s="376">
        <f t="shared" si="40"/>
        <v>14000</v>
      </c>
      <c r="N249" s="376">
        <f t="shared" si="41"/>
        <v>0</v>
      </c>
      <c r="O249" s="153">
        <f t="shared" si="42"/>
        <v>0</v>
      </c>
      <c r="X249" s="155"/>
      <c r="Y249" s="155"/>
      <c r="Z249" s="155"/>
      <c r="AA249" s="155"/>
    </row>
    <row r="250" spans="2:27" ht="16.44">
      <c r="B250" s="470"/>
      <c r="C250" s="92">
        <v>1</v>
      </c>
      <c r="D250" s="92"/>
      <c r="E250" s="2">
        <v>40892</v>
      </c>
      <c r="F250" s="2">
        <v>43266</v>
      </c>
      <c r="G250" s="92">
        <v>0</v>
      </c>
      <c r="H250" s="154">
        <f t="shared" si="39"/>
        <v>0</v>
      </c>
      <c r="I250" s="92">
        <v>7</v>
      </c>
      <c r="J250" s="151">
        <f t="shared" si="43"/>
        <v>0</v>
      </c>
      <c r="K250" s="245">
        <v>0</v>
      </c>
      <c r="M250" s="376">
        <f t="shared" si="40"/>
        <v>14000</v>
      </c>
      <c r="N250" s="376">
        <f t="shared" si="41"/>
        <v>0</v>
      </c>
      <c r="O250" s="153">
        <f t="shared" si="42"/>
        <v>0</v>
      </c>
      <c r="X250" s="155"/>
      <c r="Y250" s="155"/>
      <c r="Z250" s="155"/>
      <c r="AA250" s="155"/>
    </row>
    <row r="251" spans="2:27">
      <c r="C251"/>
      <c r="D251" s="374"/>
      <c r="E251" s="231">
        <v>43100</v>
      </c>
      <c r="F251" s="231">
        <v>43281</v>
      </c>
      <c r="G251" s="370">
        <f>H227</f>
        <v>0</v>
      </c>
      <c r="H251" s="370">
        <f>I227</f>
        <v>8</v>
      </c>
      <c r="I251" s="370">
        <v>7</v>
      </c>
      <c r="J251" s="370">
        <f>K227</f>
        <v>0</v>
      </c>
      <c r="K251" s="247">
        <f>L227</f>
        <v>0</v>
      </c>
      <c r="L251" s="370"/>
      <c r="M251" s="370">
        <f>N227</f>
        <v>0</v>
      </c>
      <c r="N251" s="370">
        <f>O227</f>
        <v>0</v>
      </c>
      <c r="O251" s="232">
        <f>P227</f>
        <v>0</v>
      </c>
    </row>
    <row r="252" spans="2:27">
      <c r="C252"/>
      <c r="D252" s="374"/>
      <c r="G252"/>
      <c r="I252"/>
      <c r="K252" s="241"/>
    </row>
    <row r="253" spans="2:27">
      <c r="C253"/>
      <c r="D253" s="374"/>
      <c r="G253"/>
      <c r="I253"/>
      <c r="K253" s="241"/>
    </row>
    <row r="254" spans="2:27" ht="239.06">
      <c r="B254" s="146" t="s">
        <v>341</v>
      </c>
      <c r="C254" s="367" t="s">
        <v>321</v>
      </c>
      <c r="D254" s="367" t="s">
        <v>322</v>
      </c>
      <c r="E254" s="367" t="s">
        <v>323</v>
      </c>
      <c r="F254" s="367" t="s">
        <v>324</v>
      </c>
      <c r="G254" s="367" t="s">
        <v>325</v>
      </c>
      <c r="H254" s="147" t="s">
        <v>326</v>
      </c>
      <c r="I254" s="148" t="s">
        <v>327</v>
      </c>
      <c r="J254" s="149" t="s">
        <v>328</v>
      </c>
      <c r="K254" s="244" t="s">
        <v>329</v>
      </c>
      <c r="M254" s="148" t="s">
        <v>330</v>
      </c>
      <c r="N254" s="367" t="s">
        <v>331</v>
      </c>
      <c r="O254" s="367" t="s">
        <v>332</v>
      </c>
      <c r="Q254" s="374"/>
      <c r="X254" s="363"/>
      <c r="Y254" s="363"/>
      <c r="Z254" s="363"/>
      <c r="AA254" s="363"/>
    </row>
    <row r="255" spans="2:27" ht="17.81">
      <c r="B255" s="477"/>
      <c r="C255" s="142">
        <v>1</v>
      </c>
      <c r="D255" s="142"/>
      <c r="E255" s="2">
        <v>40544</v>
      </c>
      <c r="F255" s="2">
        <v>42917</v>
      </c>
      <c r="G255" s="142">
        <v>0</v>
      </c>
      <c r="H255" s="151">
        <f t="shared" ref="H255:H278" si="44">N255/20</f>
        <v>0</v>
      </c>
      <c r="I255" s="142">
        <v>5</v>
      </c>
      <c r="J255" s="376"/>
      <c r="K255" s="250">
        <v>0</v>
      </c>
      <c r="M255" s="376">
        <f t="shared" ref="M255:M278" si="45">I255*$N$2</f>
        <v>10000</v>
      </c>
      <c r="N255" s="376">
        <f t="shared" ref="N255:N278" si="46">G255*$N$3</f>
        <v>0</v>
      </c>
      <c r="O255" s="153">
        <f t="shared" ref="O255:O278" si="47">K255*100</f>
        <v>0</v>
      </c>
      <c r="R255" s="478"/>
      <c r="S255" s="478"/>
      <c r="T255" s="478"/>
      <c r="U255" s="478"/>
      <c r="V255" s="478"/>
      <c r="X255" s="155"/>
      <c r="Y255" s="155"/>
      <c r="Z255" s="155"/>
      <c r="AA255" s="155"/>
    </row>
    <row r="256" spans="2:27" ht="16.44">
      <c r="B256" s="477"/>
      <c r="C256" s="142">
        <v>1</v>
      </c>
      <c r="D256" s="142"/>
      <c r="E256" s="2">
        <v>40558</v>
      </c>
      <c r="F256" s="2">
        <v>42931</v>
      </c>
      <c r="G256" s="142">
        <v>0</v>
      </c>
      <c r="H256" s="151">
        <f t="shared" si="44"/>
        <v>0</v>
      </c>
      <c r="I256" s="142">
        <v>5</v>
      </c>
      <c r="J256" s="151">
        <f t="shared" ref="J256:J278" si="48">(M256-M255)/15</f>
        <v>0</v>
      </c>
      <c r="K256" s="250">
        <v>0</v>
      </c>
      <c r="M256" s="376">
        <f t="shared" si="45"/>
        <v>10000</v>
      </c>
      <c r="N256" s="376">
        <f t="shared" si="46"/>
        <v>0</v>
      </c>
      <c r="O256" s="153">
        <f t="shared" si="47"/>
        <v>0</v>
      </c>
      <c r="X256" s="155"/>
      <c r="Y256" s="155"/>
      <c r="Z256" s="155"/>
      <c r="AA256" s="155"/>
    </row>
    <row r="257" spans="2:27" ht="17.81">
      <c r="B257" s="477"/>
      <c r="C257" s="142">
        <v>1</v>
      </c>
      <c r="D257" s="142"/>
      <c r="E257" s="2">
        <v>40575</v>
      </c>
      <c r="F257" s="2">
        <v>42948</v>
      </c>
      <c r="G257" s="142">
        <v>0</v>
      </c>
      <c r="H257" s="151">
        <f t="shared" si="44"/>
        <v>0</v>
      </c>
      <c r="I257" s="142">
        <v>4.5</v>
      </c>
      <c r="J257" s="151">
        <f t="shared" si="48"/>
        <v>-66.666666666666671</v>
      </c>
      <c r="K257" s="250">
        <v>0</v>
      </c>
      <c r="M257" s="376">
        <f t="shared" si="45"/>
        <v>9000</v>
      </c>
      <c r="N257" s="376">
        <f t="shared" si="46"/>
        <v>0</v>
      </c>
      <c r="O257" s="153">
        <f t="shared" si="47"/>
        <v>0</v>
      </c>
      <c r="Q257" s="158"/>
      <c r="R257" s="24"/>
      <c r="S257" s="24"/>
      <c r="U257" s="159"/>
      <c r="V257" s="159"/>
      <c r="X257" s="155"/>
      <c r="Y257" s="155"/>
      <c r="Z257" s="155"/>
      <c r="AA257" s="155"/>
    </row>
    <row r="258" spans="2:27" ht="17.81">
      <c r="B258" s="477"/>
      <c r="C258" s="142">
        <v>1</v>
      </c>
      <c r="D258" s="142"/>
      <c r="E258" s="2">
        <v>40589</v>
      </c>
      <c r="F258" s="2">
        <v>42962</v>
      </c>
      <c r="G258" s="142">
        <v>0.5</v>
      </c>
      <c r="H258" s="151">
        <f t="shared" si="44"/>
        <v>112.5</v>
      </c>
      <c r="I258" s="142">
        <v>4.5</v>
      </c>
      <c r="J258" s="151">
        <f t="shared" si="48"/>
        <v>0</v>
      </c>
      <c r="K258" s="250">
        <v>0</v>
      </c>
      <c r="M258" s="376">
        <f t="shared" si="45"/>
        <v>9000</v>
      </c>
      <c r="N258" s="376">
        <f t="shared" si="46"/>
        <v>2250</v>
      </c>
      <c r="O258" s="153">
        <f t="shared" si="47"/>
        <v>0</v>
      </c>
      <c r="Q258" s="158"/>
      <c r="R258" s="24"/>
      <c r="S258" s="24"/>
      <c r="U258" s="159"/>
      <c r="V258" s="159"/>
      <c r="X258" s="155"/>
      <c r="Y258" s="155"/>
      <c r="Z258" s="155"/>
      <c r="AA258" s="155"/>
    </row>
    <row r="259" spans="2:27" ht="17.81">
      <c r="B259" s="477"/>
      <c r="C259" s="142">
        <v>1</v>
      </c>
      <c r="D259" s="142"/>
      <c r="E259" s="2">
        <v>40603</v>
      </c>
      <c r="F259" s="2">
        <v>42979</v>
      </c>
      <c r="G259" s="142">
        <v>0.5</v>
      </c>
      <c r="H259" s="151">
        <f t="shared" si="44"/>
        <v>112.5</v>
      </c>
      <c r="I259" s="142">
        <v>4</v>
      </c>
      <c r="J259" s="151">
        <f t="shared" si="48"/>
        <v>-66.666666666666671</v>
      </c>
      <c r="K259" s="250">
        <v>0</v>
      </c>
      <c r="M259" s="376">
        <f t="shared" si="45"/>
        <v>8000</v>
      </c>
      <c r="N259" s="376">
        <f t="shared" si="46"/>
        <v>2250</v>
      </c>
      <c r="O259" s="153">
        <f t="shared" si="47"/>
        <v>0</v>
      </c>
      <c r="Q259" s="158"/>
      <c r="R259" s="24"/>
      <c r="S259" s="24"/>
      <c r="U259" s="159"/>
      <c r="V259" s="159"/>
      <c r="X259" s="155"/>
      <c r="Y259" s="155"/>
      <c r="Z259" s="155"/>
      <c r="AA259" s="155"/>
    </row>
    <row r="260" spans="2:27" ht="17.81">
      <c r="B260" s="477"/>
      <c r="C260" s="142">
        <v>1</v>
      </c>
      <c r="D260" s="142"/>
      <c r="E260" s="2">
        <v>40617</v>
      </c>
      <c r="F260" s="2">
        <v>42993</v>
      </c>
      <c r="G260" s="142">
        <v>0.75</v>
      </c>
      <c r="H260" s="151">
        <f t="shared" si="44"/>
        <v>168.75</v>
      </c>
      <c r="I260" s="142">
        <v>4</v>
      </c>
      <c r="J260" s="151">
        <f t="shared" si="48"/>
        <v>0</v>
      </c>
      <c r="K260" s="250">
        <v>0</v>
      </c>
      <c r="M260" s="376">
        <f t="shared" si="45"/>
        <v>8000</v>
      </c>
      <c r="N260" s="376">
        <f t="shared" si="46"/>
        <v>3375</v>
      </c>
      <c r="O260" s="153">
        <f t="shared" si="47"/>
        <v>0</v>
      </c>
      <c r="Q260" s="158"/>
      <c r="R260" s="24"/>
      <c r="S260" s="24"/>
      <c r="U260" s="159"/>
      <c r="V260" s="159"/>
      <c r="X260" s="155"/>
      <c r="Y260" s="155"/>
      <c r="Z260" s="155"/>
      <c r="AA260" s="155"/>
    </row>
    <row r="261" spans="2:27" ht="17.81">
      <c r="B261" s="477"/>
      <c r="C261" s="142"/>
      <c r="D261" s="142">
        <v>1</v>
      </c>
      <c r="E261" s="2">
        <v>40634</v>
      </c>
      <c r="F261" s="2">
        <v>43009</v>
      </c>
      <c r="G261" s="142">
        <v>0.75</v>
      </c>
      <c r="H261" s="151">
        <f t="shared" si="44"/>
        <v>168.75</v>
      </c>
      <c r="I261" s="142">
        <v>4</v>
      </c>
      <c r="J261" s="151">
        <f t="shared" si="48"/>
        <v>0</v>
      </c>
      <c r="K261" s="250">
        <v>0</v>
      </c>
      <c r="M261" s="376">
        <f t="shared" si="45"/>
        <v>8000</v>
      </c>
      <c r="N261" s="376">
        <f t="shared" si="46"/>
        <v>3375</v>
      </c>
      <c r="O261" s="153">
        <f t="shared" si="47"/>
        <v>0</v>
      </c>
      <c r="Q261" s="158"/>
      <c r="R261" s="24"/>
      <c r="S261" s="24"/>
      <c r="U261" s="159"/>
      <c r="V261" s="159"/>
      <c r="X261" s="155"/>
      <c r="Y261" s="155"/>
      <c r="Z261" s="155"/>
      <c r="AA261" s="155"/>
    </row>
    <row r="262" spans="2:27" ht="16.44">
      <c r="B262" s="477"/>
      <c r="C262" s="142"/>
      <c r="D262" s="142">
        <v>1</v>
      </c>
      <c r="E262" s="2">
        <v>40648</v>
      </c>
      <c r="F262" s="2">
        <v>43023</v>
      </c>
      <c r="G262" s="142">
        <v>1</v>
      </c>
      <c r="H262" s="151">
        <f t="shared" si="44"/>
        <v>225</v>
      </c>
      <c r="I262" s="142">
        <v>4</v>
      </c>
      <c r="J262" s="151">
        <f t="shared" si="48"/>
        <v>0</v>
      </c>
      <c r="K262" s="250">
        <v>0</v>
      </c>
      <c r="M262" s="376">
        <f t="shared" si="45"/>
        <v>8000</v>
      </c>
      <c r="N262" s="376">
        <f t="shared" si="46"/>
        <v>4500</v>
      </c>
      <c r="O262" s="153">
        <f t="shared" si="47"/>
        <v>0</v>
      </c>
      <c r="Q262" s="145"/>
      <c r="X262" s="155"/>
      <c r="Y262" s="155"/>
      <c r="Z262" s="155"/>
      <c r="AA262" s="155"/>
    </row>
    <row r="263" spans="2:27" ht="16.44">
      <c r="B263" s="477"/>
      <c r="C263" s="142"/>
      <c r="D263" s="142">
        <v>1</v>
      </c>
      <c r="E263" s="2">
        <v>40664</v>
      </c>
      <c r="F263" s="2">
        <v>43040</v>
      </c>
      <c r="G263" s="142">
        <v>1.5</v>
      </c>
      <c r="H263" s="151">
        <f t="shared" si="44"/>
        <v>337.5</v>
      </c>
      <c r="I263" s="142">
        <v>4</v>
      </c>
      <c r="J263" s="151">
        <f t="shared" si="48"/>
        <v>0</v>
      </c>
      <c r="K263" s="250">
        <v>0</v>
      </c>
      <c r="M263" s="376">
        <f t="shared" si="45"/>
        <v>8000</v>
      </c>
      <c r="N263" s="376">
        <f t="shared" si="46"/>
        <v>6750</v>
      </c>
      <c r="O263" s="153">
        <f t="shared" si="47"/>
        <v>0</v>
      </c>
      <c r="X263" s="155"/>
      <c r="Y263" s="155"/>
      <c r="Z263" s="155"/>
      <c r="AA263" s="155"/>
    </row>
    <row r="264" spans="2:27" ht="16.44">
      <c r="B264" s="477"/>
      <c r="C264" s="142"/>
      <c r="D264" s="142">
        <v>1</v>
      </c>
      <c r="E264" s="2">
        <v>40678</v>
      </c>
      <c r="F264" s="2">
        <v>43054</v>
      </c>
      <c r="G264" s="142">
        <v>1.5</v>
      </c>
      <c r="H264" s="151">
        <f t="shared" si="44"/>
        <v>337.5</v>
      </c>
      <c r="I264" s="160">
        <v>3.5</v>
      </c>
      <c r="J264" s="151">
        <f t="shared" si="48"/>
        <v>-66.666666666666671</v>
      </c>
      <c r="K264" s="250">
        <v>0.05</v>
      </c>
      <c r="M264" s="376">
        <f t="shared" si="45"/>
        <v>7000</v>
      </c>
      <c r="N264" s="376">
        <f t="shared" si="46"/>
        <v>6750</v>
      </c>
      <c r="O264" s="153">
        <f t="shared" si="47"/>
        <v>5</v>
      </c>
      <c r="X264" s="155"/>
      <c r="Y264" s="155"/>
      <c r="Z264" s="155"/>
      <c r="AA264" s="155"/>
    </row>
    <row r="265" spans="2:27" ht="16.44">
      <c r="B265" s="477"/>
      <c r="C265" s="142"/>
      <c r="D265" s="142">
        <v>1</v>
      </c>
      <c r="E265" s="2">
        <v>40695</v>
      </c>
      <c r="F265" s="2">
        <v>43070</v>
      </c>
      <c r="G265" s="142">
        <v>1.75</v>
      </c>
      <c r="H265" s="151">
        <f t="shared" si="44"/>
        <v>393.75</v>
      </c>
      <c r="I265" s="160">
        <v>4.5</v>
      </c>
      <c r="J265" s="151">
        <f t="shared" si="48"/>
        <v>133.33333333333334</v>
      </c>
      <c r="K265" s="250">
        <v>0.05</v>
      </c>
      <c r="M265" s="376">
        <f t="shared" si="45"/>
        <v>9000</v>
      </c>
      <c r="N265" s="376">
        <f t="shared" si="46"/>
        <v>7875</v>
      </c>
      <c r="O265" s="153">
        <f t="shared" si="47"/>
        <v>5</v>
      </c>
      <c r="X265" s="155"/>
      <c r="Y265" s="155"/>
      <c r="Z265" s="155"/>
      <c r="AA265" s="155"/>
    </row>
    <row r="266" spans="2:27" ht="16.44">
      <c r="B266" s="477"/>
      <c r="C266" s="142"/>
      <c r="D266" s="142">
        <v>1</v>
      </c>
      <c r="E266" s="2">
        <v>40709</v>
      </c>
      <c r="F266" s="2">
        <v>43084</v>
      </c>
      <c r="G266" s="142">
        <v>2</v>
      </c>
      <c r="H266" s="151">
        <f t="shared" si="44"/>
        <v>450</v>
      </c>
      <c r="I266" s="160">
        <v>5</v>
      </c>
      <c r="J266" s="151">
        <f t="shared" si="48"/>
        <v>66.666666666666671</v>
      </c>
      <c r="K266" s="250">
        <v>0.05</v>
      </c>
      <c r="M266" s="376">
        <f t="shared" si="45"/>
        <v>10000</v>
      </c>
      <c r="N266" s="376">
        <f t="shared" si="46"/>
        <v>9000</v>
      </c>
      <c r="O266" s="153">
        <f t="shared" si="47"/>
        <v>5</v>
      </c>
      <c r="X266" s="155"/>
      <c r="Y266" s="155"/>
      <c r="Z266" s="155"/>
      <c r="AA266" s="155"/>
    </row>
    <row r="267" spans="2:27" ht="16.44">
      <c r="B267" s="477"/>
      <c r="C267" s="142"/>
      <c r="D267" s="142">
        <v>1</v>
      </c>
      <c r="E267" s="2">
        <v>40725</v>
      </c>
      <c r="F267" s="2">
        <v>43101</v>
      </c>
      <c r="G267" s="142">
        <v>2</v>
      </c>
      <c r="H267" s="151">
        <f t="shared" si="44"/>
        <v>450</v>
      </c>
      <c r="I267" s="160">
        <v>5.0999999999999996</v>
      </c>
      <c r="J267" s="151">
        <f t="shared" si="48"/>
        <v>13.333333333333334</v>
      </c>
      <c r="K267" s="250">
        <v>0.05</v>
      </c>
      <c r="M267" s="376">
        <f t="shared" si="45"/>
        <v>10200</v>
      </c>
      <c r="N267" s="376">
        <f t="shared" si="46"/>
        <v>9000</v>
      </c>
      <c r="O267" s="153">
        <f t="shared" si="47"/>
        <v>5</v>
      </c>
      <c r="X267" s="155"/>
      <c r="Y267" s="155"/>
      <c r="Z267" s="155"/>
      <c r="AA267" s="155"/>
    </row>
    <row r="268" spans="2:27" ht="16.44">
      <c r="B268" s="477"/>
      <c r="C268" s="142"/>
      <c r="D268" s="142">
        <v>1</v>
      </c>
      <c r="E268" s="2">
        <v>40739</v>
      </c>
      <c r="F268" s="2">
        <v>43115</v>
      </c>
      <c r="G268" s="142">
        <v>1.75</v>
      </c>
      <c r="H268" s="151">
        <f t="shared" si="44"/>
        <v>393.75</v>
      </c>
      <c r="I268" s="160">
        <v>5.2</v>
      </c>
      <c r="J268" s="151">
        <f t="shared" si="48"/>
        <v>13.333333333333334</v>
      </c>
      <c r="K268" s="250">
        <v>0.05</v>
      </c>
      <c r="M268" s="376">
        <f t="shared" si="45"/>
        <v>10400</v>
      </c>
      <c r="N268" s="376">
        <f t="shared" si="46"/>
        <v>7875</v>
      </c>
      <c r="O268" s="153">
        <f t="shared" si="47"/>
        <v>5</v>
      </c>
      <c r="X268" s="155"/>
      <c r="Y268" s="155"/>
      <c r="Z268" s="155"/>
      <c r="AA268" s="155"/>
    </row>
    <row r="269" spans="2:27" ht="16.44">
      <c r="B269" s="477"/>
      <c r="C269" s="142"/>
      <c r="D269" s="142">
        <v>1</v>
      </c>
      <c r="E269" s="2">
        <v>40756</v>
      </c>
      <c r="F269" s="2">
        <v>43132</v>
      </c>
      <c r="G269" s="142">
        <v>2</v>
      </c>
      <c r="H269" s="151">
        <f t="shared" si="44"/>
        <v>450</v>
      </c>
      <c r="I269" s="160">
        <v>5.5</v>
      </c>
      <c r="J269" s="151">
        <f t="shared" si="48"/>
        <v>40</v>
      </c>
      <c r="K269" s="250">
        <v>0.05</v>
      </c>
      <c r="M269" s="376">
        <f t="shared" si="45"/>
        <v>11000</v>
      </c>
      <c r="N269" s="376">
        <f t="shared" si="46"/>
        <v>9000</v>
      </c>
      <c r="O269" s="153">
        <f t="shared" si="47"/>
        <v>5</v>
      </c>
      <c r="X269" s="155"/>
      <c r="Y269" s="155"/>
      <c r="Z269" s="155"/>
      <c r="AA269" s="155"/>
    </row>
    <row r="270" spans="2:27" ht="16.44">
      <c r="B270" s="477"/>
      <c r="C270" s="142"/>
      <c r="D270" s="142">
        <v>1</v>
      </c>
      <c r="E270" s="2">
        <v>40770</v>
      </c>
      <c r="F270" s="2">
        <v>43146</v>
      </c>
      <c r="G270" s="142">
        <v>2.2000000000000002</v>
      </c>
      <c r="H270" s="151">
        <f t="shared" si="44"/>
        <v>495</v>
      </c>
      <c r="I270" s="160">
        <v>6</v>
      </c>
      <c r="J270" s="151">
        <f t="shared" si="48"/>
        <v>66.666666666666671</v>
      </c>
      <c r="K270" s="250">
        <v>0.05</v>
      </c>
      <c r="M270" s="376">
        <f t="shared" si="45"/>
        <v>12000</v>
      </c>
      <c r="N270" s="376">
        <f t="shared" si="46"/>
        <v>9900</v>
      </c>
      <c r="O270" s="153">
        <f t="shared" si="47"/>
        <v>5</v>
      </c>
      <c r="X270" s="155"/>
      <c r="Y270" s="155"/>
      <c r="Z270" s="155"/>
      <c r="AA270" s="155"/>
    </row>
    <row r="271" spans="2:27" ht="16.44">
      <c r="B271" s="477"/>
      <c r="C271" s="142"/>
      <c r="D271" s="142">
        <v>1</v>
      </c>
      <c r="E271" s="2">
        <v>40787</v>
      </c>
      <c r="F271" s="2">
        <v>43160</v>
      </c>
      <c r="G271" s="142">
        <v>2</v>
      </c>
      <c r="H271" s="151">
        <f t="shared" si="44"/>
        <v>450</v>
      </c>
      <c r="I271" s="160">
        <v>6.2</v>
      </c>
      <c r="J271" s="151">
        <f t="shared" si="48"/>
        <v>26.666666666666668</v>
      </c>
      <c r="K271" s="250">
        <v>0.02</v>
      </c>
      <c r="M271" s="376">
        <f t="shared" si="45"/>
        <v>12400</v>
      </c>
      <c r="N271" s="376">
        <f t="shared" si="46"/>
        <v>9000</v>
      </c>
      <c r="O271" s="153">
        <f t="shared" si="47"/>
        <v>2</v>
      </c>
      <c r="X271" s="155"/>
      <c r="Y271" s="155"/>
      <c r="Z271" s="155"/>
      <c r="AA271" s="155"/>
    </row>
    <row r="272" spans="2:27" ht="16.44">
      <c r="B272" s="477"/>
      <c r="C272" s="142"/>
      <c r="D272" s="142">
        <v>1</v>
      </c>
      <c r="E272" s="2">
        <v>40801</v>
      </c>
      <c r="F272" s="2">
        <v>43174</v>
      </c>
      <c r="G272" s="142">
        <v>2</v>
      </c>
      <c r="H272" s="151">
        <f t="shared" si="44"/>
        <v>450</v>
      </c>
      <c r="I272" s="160">
        <v>6.5</v>
      </c>
      <c r="J272" s="151">
        <f t="shared" si="48"/>
        <v>40</v>
      </c>
      <c r="K272" s="250">
        <v>0.02</v>
      </c>
      <c r="M272" s="376">
        <f t="shared" si="45"/>
        <v>13000</v>
      </c>
      <c r="N272" s="376">
        <f t="shared" si="46"/>
        <v>9000</v>
      </c>
      <c r="O272" s="153">
        <f t="shared" si="47"/>
        <v>2</v>
      </c>
      <c r="X272" s="155"/>
      <c r="Y272" s="155"/>
      <c r="Z272" s="155"/>
      <c r="AA272" s="155"/>
    </row>
    <row r="273" spans="2:27" ht="16.44">
      <c r="B273" s="477"/>
      <c r="C273" s="142">
        <v>1</v>
      </c>
      <c r="D273" s="142"/>
      <c r="E273" s="2">
        <v>40817</v>
      </c>
      <c r="F273" s="2">
        <v>43191</v>
      </c>
      <c r="G273" s="142">
        <v>1.5</v>
      </c>
      <c r="H273" s="151">
        <f t="shared" si="44"/>
        <v>337.5</v>
      </c>
      <c r="I273" s="142">
        <v>6.5</v>
      </c>
      <c r="J273" s="151">
        <f t="shared" si="48"/>
        <v>0</v>
      </c>
      <c r="K273" s="250">
        <v>0</v>
      </c>
      <c r="M273" s="376">
        <f t="shared" si="45"/>
        <v>13000</v>
      </c>
      <c r="N273" s="376">
        <f t="shared" si="46"/>
        <v>6750</v>
      </c>
      <c r="O273" s="153">
        <f t="shared" si="47"/>
        <v>0</v>
      </c>
      <c r="X273" s="155"/>
      <c r="Y273" s="155"/>
      <c r="Z273" s="155"/>
      <c r="AA273" s="155"/>
    </row>
    <row r="274" spans="2:27" ht="16.44">
      <c r="B274" s="477"/>
      <c r="C274" s="142">
        <v>1</v>
      </c>
      <c r="D274" s="142"/>
      <c r="E274" s="2">
        <v>40831</v>
      </c>
      <c r="F274" s="2">
        <v>43205</v>
      </c>
      <c r="G274" s="142">
        <v>1.5</v>
      </c>
      <c r="H274" s="151">
        <f t="shared" si="44"/>
        <v>337.5</v>
      </c>
      <c r="I274" s="142">
        <v>6</v>
      </c>
      <c r="J274" s="151">
        <f t="shared" si="48"/>
        <v>-66.666666666666671</v>
      </c>
      <c r="K274" s="250">
        <v>0</v>
      </c>
      <c r="M274" s="376">
        <f t="shared" si="45"/>
        <v>12000</v>
      </c>
      <c r="N274" s="376">
        <f t="shared" si="46"/>
        <v>6750</v>
      </c>
      <c r="O274" s="153">
        <f t="shared" si="47"/>
        <v>0</v>
      </c>
      <c r="X274" s="155"/>
      <c r="Y274" s="155"/>
      <c r="Z274" s="155"/>
      <c r="AA274" s="155"/>
    </row>
    <row r="275" spans="2:27" ht="16.44">
      <c r="B275" s="477"/>
      <c r="C275" s="142">
        <v>1</v>
      </c>
      <c r="D275" s="142"/>
      <c r="E275" s="2">
        <v>40848</v>
      </c>
      <c r="F275" s="2">
        <v>43221</v>
      </c>
      <c r="G275" s="142">
        <v>1</v>
      </c>
      <c r="H275" s="151">
        <f t="shared" si="44"/>
        <v>225</v>
      </c>
      <c r="I275" s="142">
        <v>5.5</v>
      </c>
      <c r="J275" s="151">
        <f t="shared" si="48"/>
        <v>-66.666666666666671</v>
      </c>
      <c r="K275" s="250">
        <v>0</v>
      </c>
      <c r="M275" s="376">
        <f t="shared" si="45"/>
        <v>11000</v>
      </c>
      <c r="N275" s="376">
        <f t="shared" si="46"/>
        <v>4500</v>
      </c>
      <c r="O275" s="153">
        <f t="shared" si="47"/>
        <v>0</v>
      </c>
      <c r="X275" s="155"/>
      <c r="Y275" s="155"/>
      <c r="Z275" s="155"/>
      <c r="AA275" s="155"/>
    </row>
    <row r="276" spans="2:27" ht="16.44">
      <c r="B276" s="477"/>
      <c r="C276" s="142">
        <v>1</v>
      </c>
      <c r="D276" s="142"/>
      <c r="E276" s="2">
        <v>40862</v>
      </c>
      <c r="F276" s="2">
        <v>43235</v>
      </c>
      <c r="G276" s="142">
        <v>0</v>
      </c>
      <c r="H276" s="151">
        <f t="shared" si="44"/>
        <v>0</v>
      </c>
      <c r="I276" s="142">
        <v>5</v>
      </c>
      <c r="J276" s="151">
        <f t="shared" si="48"/>
        <v>-66.666666666666671</v>
      </c>
      <c r="K276" s="250">
        <v>0</v>
      </c>
      <c r="M276" s="376">
        <f t="shared" si="45"/>
        <v>10000</v>
      </c>
      <c r="N276" s="376">
        <f t="shared" si="46"/>
        <v>0</v>
      </c>
      <c r="O276" s="153">
        <f t="shared" si="47"/>
        <v>0</v>
      </c>
      <c r="X276" s="155"/>
      <c r="Y276" s="155"/>
      <c r="Z276" s="155"/>
      <c r="AA276" s="155"/>
    </row>
    <row r="277" spans="2:27" ht="16.44">
      <c r="B277" s="477"/>
      <c r="C277" s="142">
        <v>1</v>
      </c>
      <c r="D277" s="142"/>
      <c r="E277" s="2">
        <v>40878</v>
      </c>
      <c r="F277" s="2">
        <v>43252</v>
      </c>
      <c r="G277" s="142">
        <v>0</v>
      </c>
      <c r="H277" s="151">
        <f t="shared" si="44"/>
        <v>0</v>
      </c>
      <c r="I277" s="142">
        <v>5</v>
      </c>
      <c r="J277" s="151">
        <f t="shared" si="48"/>
        <v>0</v>
      </c>
      <c r="K277" s="250">
        <v>0</v>
      </c>
      <c r="M277" s="376">
        <f t="shared" si="45"/>
        <v>10000</v>
      </c>
      <c r="N277" s="376">
        <f t="shared" si="46"/>
        <v>0</v>
      </c>
      <c r="O277" s="153">
        <f t="shared" si="47"/>
        <v>0</v>
      </c>
      <c r="X277" s="155"/>
      <c r="Y277" s="155"/>
      <c r="Z277" s="155"/>
      <c r="AA277" s="155"/>
    </row>
    <row r="278" spans="2:27" ht="16.44">
      <c r="B278" s="470"/>
      <c r="C278" s="142">
        <v>1</v>
      </c>
      <c r="D278" s="142"/>
      <c r="E278" s="2">
        <v>40892</v>
      </c>
      <c r="F278" s="2">
        <v>43266</v>
      </c>
      <c r="G278" s="142">
        <v>0</v>
      </c>
      <c r="H278" s="154">
        <f t="shared" si="44"/>
        <v>0</v>
      </c>
      <c r="I278" s="142">
        <v>5</v>
      </c>
      <c r="J278" s="151">
        <f t="shared" si="48"/>
        <v>0</v>
      </c>
      <c r="K278" s="250">
        <v>0</v>
      </c>
      <c r="M278" s="376">
        <f t="shared" si="45"/>
        <v>10000</v>
      </c>
      <c r="N278" s="376">
        <f t="shared" si="46"/>
        <v>0</v>
      </c>
      <c r="O278" s="153">
        <f t="shared" si="47"/>
        <v>0</v>
      </c>
      <c r="X278" s="155"/>
      <c r="Y278" s="155"/>
      <c r="Z278" s="155"/>
      <c r="AA278" s="155"/>
    </row>
    <row r="279" spans="2:27">
      <c r="C279"/>
      <c r="D279" s="374"/>
      <c r="E279" s="231">
        <v>43100</v>
      </c>
      <c r="F279" s="231">
        <v>43281</v>
      </c>
      <c r="G279" s="370">
        <f>H255</f>
        <v>0</v>
      </c>
      <c r="H279" s="370">
        <f>I255</f>
        <v>5</v>
      </c>
      <c r="I279" s="370">
        <v>5</v>
      </c>
      <c r="J279" s="370">
        <f>K255</f>
        <v>0</v>
      </c>
      <c r="K279" s="247">
        <f>L255</f>
        <v>0</v>
      </c>
      <c r="L279" s="370"/>
      <c r="M279" s="370">
        <f>N255</f>
        <v>0</v>
      </c>
      <c r="N279" s="370">
        <f>O255</f>
        <v>0</v>
      </c>
      <c r="O279" s="232">
        <f>P255</f>
        <v>0</v>
      </c>
    </row>
    <row r="280" spans="2:27">
      <c r="C280"/>
      <c r="D280" s="374"/>
      <c r="G280"/>
      <c r="I280"/>
      <c r="K280" s="241"/>
    </row>
    <row r="281" spans="2:27">
      <c r="C281"/>
      <c r="D281" s="374"/>
      <c r="G281"/>
      <c r="I281"/>
      <c r="K281" s="241"/>
      <c r="L281" s="158"/>
      <c r="M281" s="158"/>
      <c r="N281" s="158"/>
      <c r="O281" s="158"/>
    </row>
    <row r="282" spans="2:27">
      <c r="C282"/>
      <c r="D282" s="155"/>
      <c r="E282" s="158"/>
      <c r="F282" s="158"/>
      <c r="G282" s="158"/>
      <c r="H282" s="158"/>
      <c r="I282" s="158"/>
      <c r="K282" s="241"/>
    </row>
    <row r="283" spans="2:27">
      <c r="C283"/>
      <c r="D283" s="161"/>
      <c r="E283" s="24"/>
      <c r="F283" s="24"/>
      <c r="G283" s="24"/>
      <c r="H283" s="24"/>
      <c r="I283" s="24"/>
      <c r="K283" s="241"/>
    </row>
    <row r="284" spans="2:27">
      <c r="C284"/>
      <c r="D284" s="374"/>
      <c r="G284"/>
      <c r="I284"/>
      <c r="K284" s="241"/>
    </row>
    <row r="285" spans="2:27">
      <c r="C285"/>
      <c r="D285"/>
      <c r="G285"/>
      <c r="I285"/>
      <c r="K285" s="241"/>
    </row>
    <row r="286" spans="2:27">
      <c r="C286"/>
      <c r="D286" s="158"/>
      <c r="E286" s="158"/>
      <c r="F286" s="158"/>
      <c r="G286" s="158"/>
      <c r="H286" s="158"/>
      <c r="I286" s="158"/>
      <c r="K286" s="241"/>
    </row>
    <row r="287" spans="2:27">
      <c r="C287"/>
      <c r="D287" s="24"/>
      <c r="E287" s="24"/>
      <c r="F287" s="24"/>
      <c r="G287" s="24"/>
      <c r="H287" s="24"/>
      <c r="I287" s="24"/>
      <c r="K287" s="241"/>
    </row>
    <row r="288" spans="2:27">
      <c r="C288"/>
      <c r="D288" s="374"/>
      <c r="G288"/>
      <c r="I288"/>
      <c r="K288" s="241"/>
    </row>
    <row r="289" spans="3:11">
      <c r="C289"/>
      <c r="D289" s="374"/>
      <c r="G289"/>
      <c r="I289"/>
      <c r="K289" s="241"/>
    </row>
    <row r="290" spans="3:11">
      <c r="C290"/>
      <c r="D290" s="374"/>
      <c r="G290"/>
      <c r="I290"/>
      <c r="K290" s="241"/>
    </row>
    <row r="291" spans="3:11">
      <c r="C291"/>
      <c r="D291" s="374"/>
      <c r="G291"/>
      <c r="I291"/>
      <c r="K291" s="241"/>
    </row>
    <row r="292" spans="3:11">
      <c r="C292"/>
      <c r="D292" s="374"/>
      <c r="G292"/>
      <c r="I292"/>
      <c r="K292" s="241"/>
    </row>
    <row r="293" spans="3:11">
      <c r="C293"/>
      <c r="D293" s="374"/>
      <c r="G293"/>
      <c r="I293"/>
      <c r="K293" s="241"/>
    </row>
    <row r="294" spans="3:11">
      <c r="C294"/>
      <c r="D294" s="374"/>
      <c r="G294"/>
      <c r="I294"/>
      <c r="K294" s="241"/>
    </row>
    <row r="295" spans="3:11">
      <c r="C295"/>
      <c r="D295" s="374"/>
      <c r="G295"/>
      <c r="I295"/>
      <c r="K295" s="241"/>
    </row>
    <row r="296" spans="3:11">
      <c r="C296"/>
      <c r="D296" s="374"/>
      <c r="G296"/>
      <c r="I296"/>
      <c r="K296" s="241"/>
    </row>
    <row r="297" spans="3:11">
      <c r="C297"/>
      <c r="D297" s="374"/>
      <c r="G297"/>
      <c r="I297"/>
      <c r="K297" s="241"/>
    </row>
    <row r="298" spans="3:11">
      <c r="C298"/>
      <c r="D298" s="374"/>
      <c r="G298"/>
      <c r="I298"/>
      <c r="K298" s="241"/>
    </row>
    <row r="299" spans="3:11">
      <c r="C299"/>
      <c r="D299" s="374"/>
      <c r="G299"/>
      <c r="I299"/>
      <c r="K299" s="241"/>
    </row>
    <row r="300" spans="3:11">
      <c r="C300"/>
      <c r="D300" s="374"/>
      <c r="G300"/>
      <c r="I300"/>
      <c r="K300" s="241"/>
    </row>
    <row r="301" spans="3:11">
      <c r="C301"/>
      <c r="D301" s="374"/>
      <c r="G301"/>
      <c r="I301"/>
      <c r="K301" s="241"/>
    </row>
    <row r="302" spans="3:11">
      <c r="C302"/>
      <c r="D302" s="374"/>
      <c r="G302"/>
      <c r="I302"/>
      <c r="K302" s="241"/>
    </row>
    <row r="303" spans="3:11">
      <c r="C303"/>
      <c r="D303" s="374"/>
      <c r="G303"/>
      <c r="I303"/>
      <c r="K303" s="241"/>
    </row>
    <row r="304" spans="3:11">
      <c r="C304"/>
      <c r="D304" s="374"/>
      <c r="G304"/>
      <c r="I304"/>
      <c r="K304" s="241"/>
    </row>
    <row r="305" spans="3:11">
      <c r="C305"/>
      <c r="D305" s="374"/>
      <c r="G305"/>
      <c r="I305"/>
      <c r="K305" s="241"/>
    </row>
    <row r="306" spans="3:11">
      <c r="C306"/>
      <c r="D306" s="374"/>
      <c r="G306"/>
      <c r="I306"/>
      <c r="K306" s="241"/>
    </row>
    <row r="307" spans="3:11">
      <c r="C307"/>
      <c r="D307" s="374"/>
      <c r="G307"/>
      <c r="I307"/>
      <c r="K307" s="241"/>
    </row>
    <row r="308" spans="3:11">
      <c r="C308"/>
      <c r="D308" s="374"/>
      <c r="G308"/>
      <c r="I308"/>
      <c r="K308" s="241"/>
    </row>
    <row r="309" spans="3:11">
      <c r="C309"/>
      <c r="D309" s="374"/>
      <c r="G309"/>
      <c r="I309"/>
      <c r="K309" s="241"/>
    </row>
    <row r="310" spans="3:11">
      <c r="C310"/>
      <c r="D310" s="374"/>
      <c r="G310"/>
      <c r="I310"/>
      <c r="K310" s="241"/>
    </row>
    <row r="311" spans="3:11">
      <c r="C311"/>
      <c r="D311" s="374"/>
      <c r="G311"/>
      <c r="I311"/>
      <c r="K311" s="241"/>
    </row>
    <row r="312" spans="3:11">
      <c r="C312"/>
      <c r="D312" s="374"/>
      <c r="G312"/>
      <c r="I312"/>
      <c r="K312" s="241"/>
    </row>
    <row r="313" spans="3:11">
      <c r="C313"/>
      <c r="D313" s="374"/>
      <c r="G313"/>
      <c r="I313"/>
      <c r="K313" s="241"/>
    </row>
    <row r="314" spans="3:11">
      <c r="C314"/>
      <c r="D314" s="374"/>
      <c r="G314"/>
      <c r="I314"/>
      <c r="K314" s="241"/>
    </row>
    <row r="315" spans="3:11">
      <c r="C315"/>
      <c r="D315" s="374"/>
      <c r="G315"/>
      <c r="I315"/>
      <c r="K315" s="241"/>
    </row>
    <row r="316" spans="3:11">
      <c r="C316"/>
      <c r="D316" s="374"/>
      <c r="G316"/>
      <c r="I316"/>
      <c r="K316" s="241"/>
    </row>
    <row r="317" spans="3:11">
      <c r="C317"/>
      <c r="D317" s="374"/>
      <c r="G317"/>
      <c r="I317"/>
      <c r="K317" s="241"/>
    </row>
    <row r="318" spans="3:11">
      <c r="C318"/>
      <c r="D318" s="374"/>
      <c r="G318"/>
      <c r="I318"/>
      <c r="K318" s="241"/>
    </row>
    <row r="319" spans="3:11">
      <c r="C319"/>
      <c r="D319" s="374"/>
      <c r="G319"/>
      <c r="I319"/>
      <c r="K319" s="241"/>
    </row>
    <row r="320" spans="3:11">
      <c r="C320"/>
      <c r="D320" s="374"/>
      <c r="G320"/>
      <c r="I320"/>
      <c r="K320" s="241"/>
    </row>
    <row r="321" spans="3:11">
      <c r="C321"/>
      <c r="D321" s="374"/>
      <c r="G321"/>
      <c r="I321"/>
      <c r="K321" s="241"/>
    </row>
    <row r="322" spans="3:11">
      <c r="C322"/>
      <c r="D322" s="374"/>
      <c r="G322"/>
      <c r="I322"/>
      <c r="K322" s="241"/>
    </row>
    <row r="323" spans="3:11">
      <c r="C323"/>
      <c r="D323" s="374"/>
      <c r="G323"/>
      <c r="I323"/>
      <c r="K323" s="241"/>
    </row>
    <row r="324" spans="3:11">
      <c r="C324"/>
      <c r="D324" s="374"/>
      <c r="G324"/>
      <c r="I324"/>
      <c r="K324" s="241"/>
    </row>
    <row r="325" spans="3:11">
      <c r="C325"/>
      <c r="D325" s="374"/>
      <c r="G325"/>
      <c r="I325"/>
      <c r="K325" s="241"/>
    </row>
    <row r="326" spans="3:11">
      <c r="C326"/>
      <c r="D326" s="374"/>
      <c r="G326"/>
      <c r="I326"/>
      <c r="K326" s="241"/>
    </row>
    <row r="327" spans="3:11">
      <c r="C327"/>
      <c r="D327" s="374"/>
      <c r="G327"/>
      <c r="I327"/>
      <c r="K327" s="241"/>
    </row>
    <row r="328" spans="3:11">
      <c r="C328"/>
      <c r="D328" s="374"/>
      <c r="G328"/>
      <c r="I328"/>
      <c r="K328" s="241"/>
    </row>
    <row r="329" spans="3:11">
      <c r="C329"/>
      <c r="D329" s="374"/>
      <c r="G329"/>
      <c r="I329"/>
      <c r="K329" s="241"/>
    </row>
    <row r="330" spans="3:11">
      <c r="C330"/>
      <c r="D330" s="374"/>
      <c r="G330"/>
      <c r="I330"/>
      <c r="K330" s="241"/>
    </row>
    <row r="331" spans="3:11">
      <c r="C331"/>
      <c r="D331" s="374"/>
      <c r="G331"/>
      <c r="I331"/>
      <c r="K331" s="241"/>
    </row>
    <row r="332" spans="3:11">
      <c r="C332"/>
      <c r="D332" s="374"/>
      <c r="G332"/>
      <c r="I332"/>
      <c r="K332" s="241"/>
    </row>
    <row r="333" spans="3:11">
      <c r="C333"/>
      <c r="D333" s="374"/>
      <c r="G333"/>
      <c r="I333"/>
      <c r="K333" s="241"/>
    </row>
    <row r="334" spans="3:11">
      <c r="C334"/>
      <c r="D334" s="374"/>
      <c r="G334"/>
      <c r="I334"/>
      <c r="K334" s="241"/>
    </row>
    <row r="335" spans="3:11">
      <c r="C335"/>
      <c r="D335" s="374"/>
      <c r="G335"/>
      <c r="I335"/>
      <c r="K335" s="241"/>
    </row>
    <row r="336" spans="3:11">
      <c r="C336"/>
      <c r="D336" s="374"/>
      <c r="G336"/>
      <c r="I336"/>
      <c r="K336" s="241"/>
    </row>
    <row r="337" spans="3:11">
      <c r="C337"/>
      <c r="D337" s="374"/>
      <c r="G337"/>
      <c r="I337"/>
      <c r="K337" s="241"/>
    </row>
    <row r="338" spans="3:11">
      <c r="C338"/>
      <c r="D338" s="374"/>
      <c r="G338"/>
      <c r="I338"/>
      <c r="K338" s="241"/>
    </row>
    <row r="339" spans="3:11">
      <c r="C339"/>
      <c r="D339" s="374"/>
      <c r="G339"/>
      <c r="I339"/>
      <c r="K339" s="241"/>
    </row>
    <row r="340" spans="3:11">
      <c r="C340"/>
      <c r="D340" s="374"/>
      <c r="G340"/>
      <c r="I340"/>
      <c r="K340" s="241"/>
    </row>
    <row r="341" spans="3:11">
      <c r="C341"/>
      <c r="D341" s="374"/>
      <c r="G341"/>
      <c r="I341"/>
      <c r="K341" s="241"/>
    </row>
    <row r="342" spans="3:11">
      <c r="C342"/>
      <c r="D342" s="374"/>
      <c r="G342"/>
      <c r="I342"/>
      <c r="K342" s="241"/>
    </row>
    <row r="343" spans="3:11">
      <c r="C343"/>
      <c r="D343" s="374"/>
      <c r="G343"/>
      <c r="I343"/>
      <c r="K343" s="241"/>
    </row>
    <row r="344" spans="3:11">
      <c r="C344"/>
      <c r="D344" s="374"/>
      <c r="G344"/>
      <c r="I344"/>
      <c r="K344" s="241"/>
    </row>
    <row r="345" spans="3:11">
      <c r="C345"/>
      <c r="D345" s="374"/>
      <c r="G345"/>
      <c r="I345"/>
      <c r="K345" s="241"/>
    </row>
    <row r="346" spans="3:11">
      <c r="C346"/>
      <c r="D346" s="374"/>
      <c r="G346"/>
      <c r="I346"/>
      <c r="K346" s="241"/>
    </row>
    <row r="347" spans="3:11">
      <c r="C347"/>
      <c r="D347" s="374"/>
      <c r="G347"/>
      <c r="I347"/>
      <c r="K347" s="241"/>
    </row>
    <row r="348" spans="3:11">
      <c r="C348"/>
      <c r="D348" s="374"/>
      <c r="G348"/>
      <c r="I348"/>
      <c r="K348" s="241"/>
    </row>
    <row r="349" spans="3:11">
      <c r="C349"/>
      <c r="D349" s="374"/>
      <c r="G349"/>
      <c r="I349"/>
      <c r="K349" s="241"/>
    </row>
    <row r="350" spans="3:11">
      <c r="C350"/>
      <c r="D350" s="374"/>
      <c r="G350"/>
      <c r="I350"/>
      <c r="K350" s="241"/>
    </row>
    <row r="351" spans="3:11">
      <c r="C351"/>
      <c r="D351" s="374"/>
      <c r="G351"/>
      <c r="I351"/>
      <c r="K351" s="241"/>
    </row>
    <row r="352" spans="3:11">
      <c r="C352"/>
      <c r="D352" s="374"/>
      <c r="G352"/>
      <c r="I352"/>
      <c r="K352" s="241"/>
    </row>
    <row r="353" spans="3:11">
      <c r="C353"/>
      <c r="D353" s="374"/>
      <c r="G353"/>
      <c r="I353"/>
      <c r="K353" s="241"/>
    </row>
    <row r="354" spans="3:11">
      <c r="C354"/>
      <c r="D354" s="374"/>
      <c r="G354"/>
      <c r="I354"/>
      <c r="K354" s="241"/>
    </row>
    <row r="355" spans="3:11">
      <c r="C355"/>
      <c r="D355" s="374"/>
      <c r="G355"/>
      <c r="I355"/>
      <c r="K355" s="241"/>
    </row>
    <row r="356" spans="3:11">
      <c r="C356"/>
      <c r="D356" s="374"/>
      <c r="G356"/>
      <c r="I356"/>
      <c r="K356" s="241"/>
    </row>
    <row r="357" spans="3:11">
      <c r="C357"/>
      <c r="D357" s="374"/>
      <c r="G357"/>
      <c r="I357"/>
      <c r="K357" s="241"/>
    </row>
    <row r="358" spans="3:11">
      <c r="C358"/>
      <c r="D358" s="374"/>
      <c r="G358"/>
      <c r="I358"/>
      <c r="K358" s="241"/>
    </row>
    <row r="359" spans="3:11">
      <c r="C359"/>
      <c r="D359" s="374"/>
      <c r="G359"/>
      <c r="I359"/>
      <c r="K359" s="241"/>
    </row>
    <row r="360" spans="3:11">
      <c r="C360"/>
      <c r="D360" s="374"/>
      <c r="G360"/>
      <c r="I360"/>
      <c r="K360" s="241"/>
    </row>
    <row r="361" spans="3:11">
      <c r="C361"/>
      <c r="D361" s="374"/>
      <c r="G361"/>
      <c r="I361"/>
      <c r="K361" s="241"/>
    </row>
    <row r="362" spans="3:11">
      <c r="C362"/>
      <c r="D362" s="374"/>
      <c r="G362"/>
      <c r="I362"/>
      <c r="K362" s="241"/>
    </row>
    <row r="363" spans="3:11">
      <c r="C363"/>
      <c r="D363" s="374"/>
      <c r="G363"/>
      <c r="I363"/>
      <c r="K363" s="241"/>
    </row>
    <row r="364" spans="3:11">
      <c r="C364"/>
      <c r="D364" s="374"/>
      <c r="G364"/>
      <c r="I364"/>
      <c r="K364" s="241"/>
    </row>
    <row r="365" spans="3:11">
      <c r="C365"/>
      <c r="D365" s="374"/>
      <c r="G365"/>
      <c r="I365"/>
      <c r="K365" s="241"/>
    </row>
    <row r="366" spans="3:11">
      <c r="C366"/>
      <c r="D366" s="374"/>
      <c r="G366"/>
      <c r="I366"/>
      <c r="K366" s="241"/>
    </row>
    <row r="367" spans="3:11">
      <c r="C367"/>
      <c r="D367" s="374"/>
      <c r="G367"/>
      <c r="I367"/>
      <c r="K367" s="241"/>
    </row>
    <row r="368" spans="3:11">
      <c r="C368"/>
      <c r="D368" s="374"/>
      <c r="G368"/>
      <c r="I368"/>
      <c r="K368" s="241"/>
    </row>
    <row r="369" spans="3:11">
      <c r="C369"/>
      <c r="D369" s="374"/>
      <c r="G369"/>
      <c r="I369"/>
      <c r="K369" s="241"/>
    </row>
    <row r="370" spans="3:11">
      <c r="C370"/>
      <c r="D370" s="374"/>
      <c r="G370"/>
      <c r="I370"/>
      <c r="K370" s="241"/>
    </row>
    <row r="371" spans="3:11">
      <c r="C371"/>
      <c r="D371" s="374"/>
      <c r="G371"/>
      <c r="I371"/>
      <c r="K371" s="241"/>
    </row>
    <row r="372" spans="3:11">
      <c r="C372"/>
      <c r="D372" s="374"/>
      <c r="G372"/>
      <c r="I372"/>
      <c r="K372" s="241"/>
    </row>
    <row r="373" spans="3:11">
      <c r="C373"/>
      <c r="D373" s="374"/>
      <c r="G373"/>
      <c r="I373"/>
      <c r="K373" s="241"/>
    </row>
    <row r="374" spans="3:11">
      <c r="C374"/>
      <c r="D374" s="374"/>
      <c r="G374"/>
      <c r="I374"/>
      <c r="K374" s="241"/>
    </row>
    <row r="375" spans="3:11">
      <c r="C375"/>
      <c r="D375" s="374"/>
      <c r="G375"/>
      <c r="I375"/>
      <c r="K375" s="241"/>
    </row>
    <row r="376" spans="3:11">
      <c r="C376"/>
      <c r="D376" s="374"/>
      <c r="G376"/>
      <c r="I376"/>
      <c r="K376" s="241"/>
    </row>
    <row r="377" spans="3:11">
      <c r="C377"/>
      <c r="D377" s="374"/>
      <c r="G377"/>
      <c r="I377"/>
      <c r="K377" s="241"/>
    </row>
    <row r="378" spans="3:11">
      <c r="C378"/>
      <c r="D378" s="374"/>
      <c r="G378"/>
      <c r="I378"/>
      <c r="K378" s="241"/>
    </row>
    <row r="379" spans="3:11">
      <c r="C379"/>
      <c r="D379" s="374"/>
      <c r="G379"/>
      <c r="I379"/>
      <c r="K379" s="241"/>
    </row>
    <row r="380" spans="3:11">
      <c r="C380"/>
      <c r="D380" s="374"/>
      <c r="G380"/>
      <c r="I380"/>
      <c r="K380" s="241"/>
    </row>
    <row r="381" spans="3:11">
      <c r="C381"/>
      <c r="D381" s="374"/>
      <c r="G381"/>
      <c r="I381"/>
      <c r="K381" s="241"/>
    </row>
    <row r="382" spans="3:11">
      <c r="C382"/>
      <c r="D382" s="374"/>
      <c r="G382"/>
      <c r="I382"/>
      <c r="K382" s="241"/>
    </row>
    <row r="383" spans="3:11">
      <c r="C383"/>
      <c r="D383" s="374"/>
      <c r="G383"/>
      <c r="I383"/>
      <c r="K383" s="241"/>
    </row>
    <row r="384" spans="3:11">
      <c r="C384"/>
      <c r="D384" s="374"/>
      <c r="G384"/>
      <c r="I384"/>
      <c r="K384" s="241"/>
    </row>
    <row r="385" spans="3:11">
      <c r="C385"/>
      <c r="D385" s="374"/>
      <c r="G385"/>
      <c r="I385"/>
      <c r="K385" s="241"/>
    </row>
    <row r="386" spans="3:11">
      <c r="C386"/>
      <c r="D386" s="374"/>
      <c r="G386"/>
      <c r="I386"/>
      <c r="K386" s="241"/>
    </row>
    <row r="387" spans="3:11">
      <c r="C387"/>
      <c r="D387" s="374"/>
      <c r="G387"/>
      <c r="I387"/>
      <c r="K387" s="241"/>
    </row>
    <row r="388" spans="3:11">
      <c r="C388"/>
      <c r="D388" s="374"/>
      <c r="G388"/>
      <c r="I388"/>
      <c r="K388" s="241"/>
    </row>
    <row r="389" spans="3:11">
      <c r="C389"/>
      <c r="D389" s="374"/>
      <c r="G389"/>
      <c r="I389"/>
      <c r="K389" s="241"/>
    </row>
    <row r="390" spans="3:11">
      <c r="C390"/>
      <c r="D390" s="374"/>
      <c r="G390"/>
      <c r="I390"/>
      <c r="K390" s="241"/>
    </row>
    <row r="391" spans="3:11">
      <c r="C391"/>
      <c r="D391" s="374"/>
      <c r="G391"/>
      <c r="I391"/>
      <c r="K391" s="241"/>
    </row>
    <row r="392" spans="3:11">
      <c r="C392"/>
      <c r="D392" s="374"/>
      <c r="G392"/>
      <c r="I392"/>
      <c r="K392" s="241"/>
    </row>
    <row r="393" spans="3:11">
      <c r="C393"/>
      <c r="D393" s="374"/>
      <c r="G393"/>
      <c r="I393"/>
      <c r="K393" s="241"/>
    </row>
    <row r="394" spans="3:11">
      <c r="C394"/>
      <c r="D394" s="374"/>
      <c r="G394"/>
      <c r="I394"/>
      <c r="K394" s="241"/>
    </row>
    <row r="395" spans="3:11">
      <c r="C395"/>
      <c r="D395" s="374"/>
      <c r="G395"/>
      <c r="I395"/>
      <c r="K395" s="241"/>
    </row>
    <row r="396" spans="3:11">
      <c r="C396"/>
      <c r="D396" s="374"/>
      <c r="G396"/>
      <c r="I396"/>
      <c r="K396" s="241"/>
    </row>
    <row r="397" spans="3:11">
      <c r="C397"/>
      <c r="D397" s="374"/>
      <c r="G397"/>
      <c r="I397"/>
      <c r="K397" s="241"/>
    </row>
    <row r="398" spans="3:11">
      <c r="C398"/>
      <c r="D398" s="374"/>
      <c r="G398"/>
      <c r="I398"/>
      <c r="K398" s="241"/>
    </row>
    <row r="399" spans="3:11">
      <c r="C399"/>
      <c r="D399" s="374"/>
      <c r="G399"/>
      <c r="I399"/>
      <c r="K399" s="241"/>
    </row>
    <row r="400" spans="3:11">
      <c r="C400"/>
      <c r="D400" s="374"/>
      <c r="G400"/>
      <c r="I400"/>
      <c r="K400" s="241"/>
    </row>
    <row r="401" spans="3:11">
      <c r="C401"/>
      <c r="D401" s="374"/>
      <c r="G401"/>
      <c r="I401"/>
      <c r="K401" s="241"/>
    </row>
    <row r="402" spans="3:11">
      <c r="C402"/>
      <c r="D402" s="374"/>
      <c r="G402"/>
      <c r="I402"/>
      <c r="K402" s="241"/>
    </row>
    <row r="403" spans="3:11">
      <c r="C403"/>
      <c r="D403" s="374"/>
      <c r="G403"/>
      <c r="I403"/>
      <c r="K403" s="241"/>
    </row>
    <row r="404" spans="3:11">
      <c r="C404"/>
      <c r="D404" s="374"/>
      <c r="G404"/>
      <c r="I404"/>
      <c r="K404" s="241"/>
    </row>
    <row r="405" spans="3:11">
      <c r="C405"/>
      <c r="D405" s="374"/>
      <c r="G405"/>
      <c r="I405"/>
      <c r="K405" s="241"/>
    </row>
    <row r="406" spans="3:11">
      <c r="C406"/>
      <c r="D406" s="374"/>
      <c r="G406"/>
      <c r="I406"/>
      <c r="K406" s="241"/>
    </row>
    <row r="407" spans="3:11">
      <c r="C407"/>
      <c r="D407" s="374"/>
      <c r="G407"/>
      <c r="I407"/>
      <c r="K407" s="241"/>
    </row>
    <row r="408" spans="3:11">
      <c r="C408"/>
      <c r="D408" s="374"/>
      <c r="G408"/>
      <c r="I408"/>
      <c r="K408" s="241"/>
    </row>
    <row r="409" spans="3:11">
      <c r="C409"/>
      <c r="D409" s="374"/>
      <c r="G409"/>
      <c r="I409"/>
      <c r="K409" s="241"/>
    </row>
    <row r="410" spans="3:11">
      <c r="C410"/>
      <c r="D410" s="374"/>
      <c r="G410"/>
      <c r="I410"/>
      <c r="K410" s="241"/>
    </row>
    <row r="411" spans="3:11">
      <c r="C411"/>
      <c r="D411" s="374"/>
      <c r="G411"/>
      <c r="I411"/>
      <c r="K411" s="241"/>
    </row>
    <row r="412" spans="3:11">
      <c r="C412"/>
      <c r="D412" s="374"/>
      <c r="G412"/>
      <c r="I412"/>
      <c r="K412" s="241"/>
    </row>
    <row r="413" spans="3:11">
      <c r="C413"/>
      <c r="D413" s="374"/>
      <c r="G413"/>
      <c r="I413"/>
      <c r="K413" s="241"/>
    </row>
    <row r="414" spans="3:11">
      <c r="C414"/>
      <c r="D414" s="374"/>
      <c r="G414"/>
      <c r="I414"/>
      <c r="K414" s="241"/>
    </row>
    <row r="415" spans="3:11">
      <c r="C415"/>
      <c r="D415" s="374"/>
      <c r="G415"/>
      <c r="I415"/>
      <c r="K415" s="241"/>
    </row>
    <row r="416" spans="3:11">
      <c r="C416"/>
      <c r="D416" s="374"/>
      <c r="G416"/>
      <c r="I416"/>
      <c r="K416" s="241"/>
    </row>
    <row r="417" spans="3:11">
      <c r="C417"/>
      <c r="D417" s="374"/>
      <c r="G417"/>
      <c r="I417"/>
      <c r="K417" s="241"/>
    </row>
    <row r="418" spans="3:11">
      <c r="C418"/>
      <c r="D418" s="374"/>
      <c r="G418"/>
      <c r="I418"/>
      <c r="K418" s="241"/>
    </row>
    <row r="419" spans="3:11">
      <c r="C419"/>
      <c r="D419" s="374"/>
      <c r="G419"/>
      <c r="I419"/>
      <c r="K419" s="241"/>
    </row>
    <row r="420" spans="3:11">
      <c r="C420"/>
      <c r="D420" s="374"/>
      <c r="G420"/>
      <c r="I420"/>
      <c r="K420" s="241"/>
    </row>
    <row r="421" spans="3:11">
      <c r="C421"/>
      <c r="D421" s="374"/>
      <c r="G421"/>
      <c r="I421"/>
      <c r="K421" s="241"/>
    </row>
    <row r="422" spans="3:11">
      <c r="C422"/>
      <c r="D422" s="374"/>
      <c r="G422"/>
      <c r="I422"/>
      <c r="K422" s="241"/>
    </row>
    <row r="423" spans="3:11">
      <c r="C423"/>
      <c r="D423" s="374"/>
      <c r="G423"/>
      <c r="I423"/>
      <c r="K423" s="241"/>
    </row>
    <row r="424" spans="3:11">
      <c r="C424"/>
      <c r="D424" s="374"/>
      <c r="G424"/>
      <c r="I424"/>
      <c r="K424" s="241"/>
    </row>
    <row r="425" spans="3:11">
      <c r="C425"/>
      <c r="D425" s="374"/>
      <c r="G425"/>
      <c r="I425"/>
      <c r="K425" s="241"/>
    </row>
    <row r="426" spans="3:11">
      <c r="C426"/>
      <c r="D426" s="374"/>
      <c r="G426"/>
      <c r="I426"/>
      <c r="K426" s="241"/>
    </row>
    <row r="427" spans="3:11">
      <c r="C427"/>
      <c r="D427" s="374"/>
      <c r="G427"/>
      <c r="I427"/>
      <c r="K427" s="241"/>
    </row>
    <row r="428" spans="3:11">
      <c r="C428"/>
      <c r="D428" s="374"/>
      <c r="G428"/>
      <c r="I428"/>
      <c r="K428" s="241"/>
    </row>
    <row r="429" spans="3:11">
      <c r="C429"/>
      <c r="D429" s="374"/>
      <c r="G429"/>
      <c r="I429"/>
      <c r="K429" s="241"/>
    </row>
    <row r="430" spans="3:11">
      <c r="C430"/>
      <c r="D430" s="374"/>
      <c r="G430"/>
      <c r="I430"/>
      <c r="K430" s="241"/>
    </row>
    <row r="431" spans="3:11">
      <c r="C431"/>
      <c r="D431" s="374"/>
      <c r="G431"/>
      <c r="I431"/>
      <c r="K431" s="241"/>
    </row>
    <row r="432" spans="3:11">
      <c r="C432"/>
      <c r="D432" s="374"/>
      <c r="G432"/>
      <c r="I432"/>
      <c r="K432" s="241"/>
    </row>
    <row r="433" spans="3:11">
      <c r="C433"/>
      <c r="D433" s="374"/>
      <c r="G433"/>
      <c r="I433"/>
      <c r="K433" s="241"/>
    </row>
    <row r="434" spans="3:11">
      <c r="C434"/>
      <c r="D434" s="374"/>
      <c r="G434"/>
      <c r="I434"/>
      <c r="K434" s="241"/>
    </row>
    <row r="435" spans="3:11">
      <c r="C435"/>
      <c r="D435" s="374"/>
      <c r="G435"/>
      <c r="I435"/>
      <c r="K435" s="241"/>
    </row>
    <row r="436" spans="3:11">
      <c r="C436"/>
      <c r="D436" s="374"/>
      <c r="G436"/>
      <c r="I436"/>
      <c r="K436" s="241"/>
    </row>
    <row r="437" spans="3:11">
      <c r="C437"/>
      <c r="D437" s="374"/>
      <c r="G437"/>
      <c r="I437"/>
      <c r="K437" s="241"/>
    </row>
    <row r="438" spans="3:11">
      <c r="C438"/>
      <c r="D438" s="374"/>
      <c r="G438"/>
      <c r="I438"/>
      <c r="K438" s="241"/>
    </row>
    <row r="439" spans="3:11">
      <c r="C439"/>
      <c r="D439" s="374"/>
      <c r="G439"/>
      <c r="I439"/>
      <c r="K439" s="241"/>
    </row>
    <row r="440" spans="3:11">
      <c r="C440"/>
      <c r="D440" s="374"/>
      <c r="G440"/>
      <c r="I440"/>
      <c r="K440" s="241"/>
    </row>
    <row r="441" spans="3:11">
      <c r="C441"/>
      <c r="D441" s="374"/>
      <c r="G441"/>
      <c r="I441"/>
      <c r="K441" s="241"/>
    </row>
    <row r="442" spans="3:11">
      <c r="C442"/>
      <c r="D442" s="374"/>
      <c r="G442"/>
      <c r="I442"/>
      <c r="K442" s="241"/>
    </row>
    <row r="443" spans="3:11">
      <c r="C443"/>
      <c r="D443" s="374"/>
      <c r="G443"/>
      <c r="I443"/>
      <c r="K443" s="241"/>
    </row>
    <row r="444" spans="3:11">
      <c r="C444"/>
      <c r="D444" s="374"/>
      <c r="G444"/>
      <c r="I444"/>
      <c r="K444" s="241"/>
    </row>
    <row r="445" spans="3:11">
      <c r="C445"/>
      <c r="D445" s="374"/>
      <c r="G445"/>
      <c r="I445"/>
      <c r="K445" s="241"/>
    </row>
    <row r="446" spans="3:11">
      <c r="C446"/>
      <c r="D446" s="374"/>
      <c r="G446"/>
      <c r="I446"/>
      <c r="K446" s="241"/>
    </row>
    <row r="447" spans="3:11">
      <c r="C447"/>
      <c r="D447" s="374"/>
      <c r="G447"/>
      <c r="I447"/>
      <c r="K447" s="241"/>
    </row>
    <row r="448" spans="3:11">
      <c r="C448"/>
      <c r="D448" s="374"/>
      <c r="G448"/>
      <c r="I448"/>
      <c r="K448" s="241"/>
    </row>
    <row r="449" spans="3:11">
      <c r="C449"/>
      <c r="D449" s="374"/>
      <c r="G449"/>
      <c r="I449"/>
      <c r="K449" s="241"/>
    </row>
    <row r="450" spans="3:11">
      <c r="C450"/>
      <c r="D450" s="374"/>
      <c r="G450"/>
      <c r="I450"/>
      <c r="K450" s="241"/>
    </row>
    <row r="451" spans="3:11">
      <c r="C451"/>
      <c r="D451" s="374"/>
      <c r="G451"/>
      <c r="I451"/>
      <c r="K451" s="241"/>
    </row>
    <row r="452" spans="3:11">
      <c r="C452"/>
      <c r="D452" s="374"/>
      <c r="G452"/>
      <c r="I452"/>
      <c r="K452" s="241"/>
    </row>
    <row r="453" spans="3:11">
      <c r="C453"/>
      <c r="D453" s="374"/>
      <c r="G453"/>
      <c r="I453"/>
      <c r="K453" s="241"/>
    </row>
    <row r="454" spans="3:11">
      <c r="C454"/>
      <c r="D454" s="374"/>
      <c r="G454"/>
      <c r="I454"/>
      <c r="K454" s="241"/>
    </row>
    <row r="455" spans="3:11">
      <c r="C455"/>
      <c r="D455" s="374"/>
      <c r="G455"/>
      <c r="I455"/>
      <c r="K455" s="241"/>
    </row>
    <row r="456" spans="3:11">
      <c r="C456"/>
      <c r="D456" s="374"/>
      <c r="G456"/>
      <c r="I456"/>
      <c r="K456" s="241"/>
    </row>
    <row r="457" spans="3:11">
      <c r="C457"/>
      <c r="D457" s="374"/>
      <c r="G457"/>
      <c r="I457"/>
      <c r="K457" s="241"/>
    </row>
    <row r="458" spans="3:11">
      <c r="C458"/>
      <c r="D458" s="374"/>
      <c r="G458"/>
      <c r="I458"/>
      <c r="K458" s="241"/>
    </row>
    <row r="459" spans="3:11">
      <c r="C459"/>
      <c r="D459" s="374"/>
      <c r="G459"/>
      <c r="I459"/>
      <c r="K459" s="241"/>
    </row>
    <row r="460" spans="3:11">
      <c r="C460"/>
      <c r="D460" s="374"/>
      <c r="G460"/>
      <c r="I460"/>
      <c r="K460" s="241"/>
    </row>
    <row r="461" spans="3:11">
      <c r="C461"/>
      <c r="D461" s="374"/>
      <c r="G461"/>
      <c r="I461"/>
      <c r="K461" s="241"/>
    </row>
    <row r="462" spans="3:11">
      <c r="C462"/>
      <c r="D462" s="374"/>
      <c r="G462"/>
      <c r="I462"/>
      <c r="K462" s="241"/>
    </row>
    <row r="463" spans="3:11">
      <c r="C463"/>
      <c r="D463" s="374"/>
      <c r="G463"/>
      <c r="I463"/>
      <c r="K463" s="241"/>
    </row>
    <row r="464" spans="3:11">
      <c r="C464"/>
      <c r="D464" s="374"/>
      <c r="G464"/>
      <c r="I464"/>
      <c r="K464" s="241"/>
    </row>
    <row r="465" spans="3:11">
      <c r="C465"/>
      <c r="D465" s="374"/>
      <c r="G465"/>
      <c r="I465"/>
      <c r="K465" s="241"/>
    </row>
    <row r="466" spans="3:11">
      <c r="C466"/>
      <c r="D466" s="374"/>
      <c r="G466"/>
      <c r="I466"/>
      <c r="K466" s="241"/>
    </row>
    <row r="467" spans="3:11">
      <c r="C467"/>
      <c r="D467" s="374"/>
      <c r="G467"/>
      <c r="I467"/>
      <c r="K467" s="241"/>
    </row>
    <row r="468" spans="3:11">
      <c r="C468"/>
      <c r="D468" s="374"/>
      <c r="G468"/>
      <c r="I468"/>
      <c r="K468" s="241"/>
    </row>
    <row r="469" spans="3:11">
      <c r="C469"/>
      <c r="D469" s="374"/>
      <c r="G469"/>
      <c r="I469"/>
      <c r="K469" s="241"/>
    </row>
    <row r="470" spans="3:11">
      <c r="C470"/>
      <c r="D470" s="374"/>
      <c r="G470"/>
      <c r="I470"/>
      <c r="K470" s="241"/>
    </row>
    <row r="471" spans="3:11">
      <c r="C471"/>
      <c r="D471" s="374"/>
      <c r="G471"/>
      <c r="I471"/>
      <c r="K471" s="241"/>
    </row>
    <row r="472" spans="3:11">
      <c r="C472"/>
      <c r="D472" s="374"/>
      <c r="G472"/>
      <c r="I472"/>
      <c r="K472" s="241"/>
    </row>
    <row r="473" spans="3:11">
      <c r="C473"/>
      <c r="D473" s="374"/>
      <c r="G473"/>
      <c r="I473"/>
      <c r="K473" s="241"/>
    </row>
    <row r="474" spans="3:11">
      <c r="C474"/>
      <c r="D474" s="374"/>
      <c r="G474"/>
      <c r="I474"/>
      <c r="K474" s="241"/>
    </row>
    <row r="475" spans="3:11">
      <c r="C475"/>
      <c r="D475" s="374"/>
      <c r="G475"/>
      <c r="I475"/>
      <c r="K475" s="241"/>
    </row>
    <row r="476" spans="3:11">
      <c r="C476"/>
      <c r="D476" s="374"/>
      <c r="G476"/>
      <c r="I476"/>
      <c r="K476" s="241"/>
    </row>
    <row r="477" spans="3:11">
      <c r="C477"/>
      <c r="D477" s="374"/>
      <c r="G477"/>
      <c r="I477"/>
      <c r="K477" s="241"/>
    </row>
    <row r="478" spans="3:11">
      <c r="C478"/>
      <c r="D478" s="374"/>
      <c r="G478"/>
      <c r="I478"/>
      <c r="K478" s="241"/>
    </row>
    <row r="479" spans="3:11">
      <c r="C479"/>
      <c r="D479" s="374"/>
      <c r="G479"/>
      <c r="I479"/>
      <c r="K479" s="241"/>
    </row>
    <row r="480" spans="3:11">
      <c r="C480"/>
      <c r="D480" s="374"/>
      <c r="G480"/>
      <c r="I480"/>
      <c r="K480" s="241"/>
    </row>
    <row r="481" spans="3:11">
      <c r="C481"/>
      <c r="D481" s="374"/>
      <c r="G481"/>
      <c r="I481"/>
      <c r="K481" s="241"/>
    </row>
    <row r="482" spans="3:11">
      <c r="C482"/>
      <c r="D482" s="374"/>
      <c r="G482"/>
      <c r="I482"/>
      <c r="K482" s="241"/>
    </row>
    <row r="483" spans="3:11">
      <c r="C483"/>
      <c r="D483" s="374"/>
      <c r="G483"/>
      <c r="I483"/>
      <c r="K483" s="241"/>
    </row>
    <row r="484" spans="3:11">
      <c r="C484"/>
      <c r="D484" s="374"/>
      <c r="G484"/>
      <c r="I484"/>
      <c r="K484" s="241"/>
    </row>
    <row r="485" spans="3:11">
      <c r="C485"/>
      <c r="D485" s="374"/>
      <c r="G485"/>
      <c r="I485"/>
      <c r="K485" s="241"/>
    </row>
    <row r="486" spans="3:11">
      <c r="C486"/>
      <c r="D486" s="374"/>
      <c r="G486"/>
      <c r="I486"/>
      <c r="K486" s="241"/>
    </row>
    <row r="487" spans="3:11">
      <c r="C487"/>
      <c r="D487" s="374"/>
      <c r="G487"/>
      <c r="I487"/>
      <c r="K487" s="241"/>
    </row>
    <row r="488" spans="3:11">
      <c r="C488"/>
      <c r="D488" s="374"/>
      <c r="G488"/>
      <c r="I488"/>
      <c r="K488" s="241"/>
    </row>
    <row r="489" spans="3:11">
      <c r="C489"/>
      <c r="D489" s="374"/>
      <c r="G489"/>
      <c r="I489"/>
      <c r="K489" s="241"/>
    </row>
    <row r="490" spans="3:11">
      <c r="C490"/>
      <c r="D490" s="374"/>
      <c r="G490"/>
      <c r="I490"/>
      <c r="K490" s="241"/>
    </row>
    <row r="491" spans="3:11">
      <c r="C491"/>
      <c r="D491" s="374"/>
      <c r="G491"/>
      <c r="I491"/>
      <c r="K491" s="241"/>
    </row>
    <row r="492" spans="3:11">
      <c r="C492"/>
      <c r="D492" s="374"/>
      <c r="G492"/>
      <c r="I492"/>
      <c r="K492" s="241"/>
    </row>
    <row r="493" spans="3:11">
      <c r="C493"/>
      <c r="D493" s="374"/>
      <c r="G493"/>
      <c r="I493"/>
      <c r="K493" s="241"/>
    </row>
    <row r="494" spans="3:11">
      <c r="C494"/>
      <c r="D494" s="374"/>
      <c r="G494"/>
      <c r="I494"/>
      <c r="K494" s="241"/>
    </row>
    <row r="495" spans="3:11">
      <c r="C495"/>
      <c r="D495" s="374"/>
      <c r="G495"/>
      <c r="I495"/>
      <c r="K495" s="241"/>
    </row>
    <row r="496" spans="3:11">
      <c r="C496"/>
      <c r="D496" s="374"/>
      <c r="G496"/>
      <c r="I496"/>
      <c r="K496" s="241"/>
    </row>
    <row r="497" spans="3:11">
      <c r="C497"/>
      <c r="D497" s="374"/>
      <c r="G497"/>
      <c r="I497"/>
      <c r="K497" s="241"/>
    </row>
    <row r="498" spans="3:11">
      <c r="C498"/>
      <c r="D498" s="374"/>
      <c r="G498"/>
      <c r="I498"/>
      <c r="K498" s="241"/>
    </row>
    <row r="499" spans="3:11">
      <c r="C499"/>
      <c r="D499" s="374"/>
      <c r="G499"/>
      <c r="I499"/>
      <c r="K499" s="241"/>
    </row>
    <row r="500" spans="3:11">
      <c r="C500"/>
      <c r="D500" s="374"/>
      <c r="G500"/>
      <c r="I500"/>
      <c r="K500" s="241"/>
    </row>
    <row r="501" spans="3:11">
      <c r="C501"/>
      <c r="D501" s="374"/>
      <c r="G501"/>
      <c r="I501"/>
      <c r="K501" s="241"/>
    </row>
    <row r="502" spans="3:11">
      <c r="C502"/>
      <c r="D502" s="374"/>
      <c r="G502"/>
      <c r="I502"/>
      <c r="K502" s="241"/>
    </row>
    <row r="503" spans="3:11">
      <c r="C503"/>
      <c r="D503" s="374"/>
      <c r="G503"/>
      <c r="I503"/>
      <c r="K503" s="241"/>
    </row>
    <row r="504" spans="3:11">
      <c r="C504"/>
      <c r="D504" s="374"/>
      <c r="G504"/>
      <c r="I504"/>
      <c r="K504" s="241"/>
    </row>
    <row r="505" spans="3:11">
      <c r="C505"/>
      <c r="D505" s="374"/>
      <c r="G505"/>
      <c r="I505"/>
      <c r="K505" s="241"/>
    </row>
    <row r="506" spans="3:11">
      <c r="C506"/>
      <c r="D506" s="374"/>
      <c r="G506"/>
      <c r="I506"/>
      <c r="K506" s="241"/>
    </row>
    <row r="507" spans="3:11">
      <c r="C507"/>
      <c r="D507" s="374"/>
      <c r="G507"/>
      <c r="I507"/>
      <c r="K507" s="241"/>
    </row>
    <row r="508" spans="3:11">
      <c r="C508"/>
      <c r="D508" s="374"/>
      <c r="G508"/>
      <c r="I508"/>
      <c r="K508" s="241"/>
    </row>
    <row r="509" spans="3:11">
      <c r="C509"/>
      <c r="D509" s="374"/>
      <c r="G509"/>
      <c r="I509"/>
      <c r="K509" s="241"/>
    </row>
    <row r="510" spans="3:11">
      <c r="C510"/>
      <c r="D510" s="374"/>
      <c r="G510"/>
      <c r="I510"/>
      <c r="K510" s="241"/>
    </row>
    <row r="511" spans="3:11">
      <c r="C511"/>
      <c r="D511" s="374"/>
      <c r="G511"/>
      <c r="I511"/>
      <c r="K511" s="241"/>
    </row>
    <row r="512" spans="3:11">
      <c r="C512"/>
      <c r="D512" s="374"/>
      <c r="G512"/>
      <c r="I512"/>
      <c r="K512" s="241"/>
    </row>
  </sheetData>
  <sheetProtection algorithmName="SHA-512" hashValue="c0O94MhAUuMbpGzJcrCt17SQsUPqt3kG7kML0ZQeUr9+UayTEO3fJ09VhTwsQtV3bnuGCFI6YyHdonGgcZfK2w==" saltValue="1gdXOGFtxiMGV40y7NRr8A==" spinCount="100000" sheet="1" objects="1" scenarios="1"/>
  <customSheetViews>
    <customSheetView guid="{40D14490-07BB-46F3-8435-9C462BE853EE}" scale="80" topLeftCell="AA1">
      <selection activeCell="AH24" sqref="AH24"/>
      <pageMargins left="0" right="0" top="0" bottom="0" header="0" footer="0"/>
      <pageSetup orientation="portrait" r:id="rId1"/>
    </customSheetView>
    <customSheetView guid="{C5ECCA7E-81F6-46F5-BEA0-A5F2DAD22AC9}" scale="80" topLeftCell="AA1">
      <selection activeCell="AH24" sqref="AH24"/>
      <pageMargins left="0" right="0" top="0" bottom="0" header="0" footer="0"/>
      <pageSetup orientation="portrait" r:id="rId2"/>
    </customSheetView>
  </customSheetViews>
  <mergeCells count="12">
    <mergeCell ref="B171:B194"/>
    <mergeCell ref="B199:B222"/>
    <mergeCell ref="B227:B250"/>
    <mergeCell ref="B255:B278"/>
    <mergeCell ref="R255:V255"/>
    <mergeCell ref="B28:AC28"/>
    <mergeCell ref="B21:B27"/>
    <mergeCell ref="B143:B166"/>
    <mergeCell ref="B31:B54"/>
    <mergeCell ref="B59:B82"/>
    <mergeCell ref="B87:B110"/>
    <mergeCell ref="B115:B138"/>
  </mergeCells>
  <pageMargins left="0.7" right="0.7" top="0.75" bottom="0.75" header="0.3" footer="0.3"/>
  <pageSetup orientation="portrait" r:id="rId3"/>
  <drawing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pageSetUpPr autoPageBreaks="0"/>
    <tabColor rgb="FFC49A48"/>
  </sheetPr>
  <dimension ref="A10:S106"/>
  <sheetViews>
    <sheetView zoomScale="90" zoomScaleNormal="90" workbookViewId="0" showGridLines="0" topLeftCell="A1">
      <selection activeCell="E22" sqref="E22:E25"/>
    </sheetView>
  </sheetViews>
  <sheetFormatPr defaultColWidth="10.449" defaultRowHeight="16"/>
  <cols>
    <col min="1" max="1" width="19.889" customWidth="1"/>
    <col min="5" max="5" width="12.809" customWidth="1"/>
    <col min="6" max="6" width="19.382" customWidth="1"/>
    <col min="10" max="10" width="12.809" customWidth="1"/>
    <col min="15" max="15" width="19.889" bestFit="1" customWidth="1"/>
  </cols>
  <sheetData>
    <row r="10" spans="1:6">
      <c r="F10" s="54" t="s">
        <v>342</v>
      </c>
    </row>
    <row r="11" spans="1:6" s="126" customFormat="1" ht="16" customHeight="1">
      <c r="A11" s="479" t="s">
        <v>343</v>
      </c>
      <c r="B11" s="479"/>
      <c r="C11" s="121">
        <v>2.1000000000000001E-2</v>
      </c>
      <c r="D11" s="352" t="s">
        <v>344</v>
      </c>
      <c r="F11" s="162">
        <v>2.1000000000000001E-2</v>
      </c>
    </row>
    <row r="12" spans="1:6">
      <c r="A12" s="479"/>
      <c r="B12" s="479"/>
      <c r="C12" s="127">
        <v>5.0000000000000001E-3</v>
      </c>
      <c r="D12" s="163" t="s">
        <v>345</v>
      </c>
      <c r="F12" s="54">
        <v>5.0000000000000001E-3</v>
      </c>
    </row>
    <row r="13" spans="1:6">
      <c r="A13" s="479"/>
      <c r="B13" s="479"/>
      <c r="C13" s="170">
        <f>LN(1-C12)</f>
        <v>-5.0125418235442863E-3</v>
      </c>
      <c r="D13" t="s">
        <v>346</v>
      </c>
      <c r="F13" s="164">
        <f>LN(1-F12)</f>
        <v>-5.0125418235442863E-3</v>
      </c>
    </row>
    <row r="14" spans="1:6">
      <c r="A14" s="479"/>
      <c r="B14" s="479"/>
    </row>
    <row r="15" spans="1:6">
      <c r="A15" s="479"/>
      <c r="B15" s="479"/>
    </row>
    <row r="16" spans="1:6">
      <c r="A16" s="479"/>
      <c r="B16" s="479"/>
    </row>
    <row r="17" spans="3:9" ht="47.81">
      <c r="C17" s="374" t="s">
        <v>347</v>
      </c>
      <c r="D17" s="374" t="s">
        <v>348</v>
      </c>
      <c r="E17" s="165" t="s">
        <v>349</v>
      </c>
      <c r="F17" s="165" t="s">
        <v>350</v>
      </c>
    </row>
    <row r="18" spans="3:9" ht="16.44">
      <c r="C18">
        <v>0</v>
      </c>
      <c r="F18" s="354">
        <v>1</v>
      </c>
      <c r="G18">
        <v>1</v>
      </c>
      <c r="H18" s="14"/>
      <c r="I18" s="14"/>
    </row>
    <row r="19" spans="3:9" ht="16.44">
      <c r="C19">
        <v>1</v>
      </c>
      <c r="D19" s="23">
        <f t="shared" ref="D19:D30" si="0">IF(C19&lt;($J$34+1),$C$11,$C$13)</f>
        <v>2.1000000000000001E-2</v>
      </c>
      <c r="E19" s="101"/>
      <c r="F19" s="166">
        <f>(F18-(F18*E19))*EXP(D19*30)</f>
        <v>1.8776105792643432</v>
      </c>
      <c r="G19">
        <v>1</v>
      </c>
      <c r="H19" s="14"/>
      <c r="I19" s="14"/>
    </row>
    <row r="20" spans="3:9" ht="16.44">
      <c r="C20">
        <v>2</v>
      </c>
      <c r="D20" s="23">
        <f t="shared" si="0"/>
        <v>2.1000000000000001E-2</v>
      </c>
      <c r="E20" s="101"/>
      <c r="F20" s="166">
        <f>(F19-(F19*E20))*EXP(D20*30)</f>
        <v>3.5254214873653824</v>
      </c>
      <c r="G20">
        <v>1</v>
      </c>
      <c r="H20" s="14"/>
      <c r="I20" s="14"/>
    </row>
    <row r="21" spans="3:9" ht="16.44">
      <c r="C21">
        <v>3</v>
      </c>
      <c r="D21" s="23">
        <f t="shared" si="0"/>
        <v>2.1000000000000001E-2</v>
      </c>
      <c r="E21" s="101"/>
      <c r="F21" s="166">
        <f>(F20-(F20*E21))*EXP(D21*30)</f>
        <v>6.6193686810430776</v>
      </c>
      <c r="G21">
        <v>1</v>
      </c>
      <c r="H21" s="14"/>
      <c r="I21" s="14"/>
    </row>
    <row r="22" spans="3:9" ht="16.44">
      <c r="C22">
        <v>4</v>
      </c>
      <c r="D22" s="23">
        <f t="shared" si="0"/>
        <v>2.1000000000000001E-2</v>
      </c>
      <c r="E22" s="101"/>
      <c r="F22" s="166">
        <f t="shared" ref="F22:F30" si="1">(F21-(F21*E22))*EXP(D22*30)</f>
        <v>12.428596663577544</v>
      </c>
      <c r="G22">
        <v>1</v>
      </c>
      <c r="H22" s="14"/>
      <c r="I22" s="14"/>
    </row>
    <row r="23" spans="3:9" ht="16.44">
      <c r="C23">
        <v>5</v>
      </c>
      <c r="D23" s="23">
        <f t="shared" si="0"/>
        <v>2.1000000000000001E-2</v>
      </c>
      <c r="E23" s="101"/>
      <c r="F23" s="166">
        <f t="shared" si="1"/>
        <v>23.336064580942715</v>
      </c>
      <c r="G23">
        <v>1</v>
      </c>
      <c r="H23" s="14"/>
      <c r="I23" s="14"/>
    </row>
    <row r="24" spans="3:9" ht="16.44">
      <c r="C24">
        <v>6</v>
      </c>
      <c r="D24" s="23">
        <f t="shared" si="0"/>
        <v>2.1000000000000001E-2</v>
      </c>
      <c r="E24" s="101"/>
      <c r="F24" s="166">
        <f t="shared" si="1"/>
        <v>43.816041735573975</v>
      </c>
      <c r="G24">
        <v>1</v>
      </c>
      <c r="H24" s="14"/>
      <c r="I24" s="14"/>
    </row>
    <row r="25" spans="3:9" ht="16.44">
      <c r="C25">
        <v>7</v>
      </c>
      <c r="D25" s="23">
        <f t="shared" si="0"/>
        <v>2.1000000000000001E-2</v>
      </c>
      <c r="E25" s="101"/>
      <c r="F25" s="166">
        <f t="shared" si="1"/>
        <v>82.269463504201681</v>
      </c>
      <c r="G25">
        <v>1</v>
      </c>
      <c r="H25" s="14"/>
      <c r="I25" s="14"/>
    </row>
    <row r="26" spans="3:9" ht="16.44">
      <c r="C26">
        <v>8</v>
      </c>
      <c r="D26" s="23">
        <f t="shared" si="0"/>
        <v>2.1000000000000001E-2</v>
      </c>
      <c r="E26" s="101"/>
      <c r="F26" s="166">
        <f t="shared" si="1"/>
        <v>154.47001502589086</v>
      </c>
      <c r="G26">
        <v>1</v>
      </c>
      <c r="H26" s="14"/>
      <c r="I26" s="14"/>
    </row>
    <row r="27" spans="3:9" ht="16.44">
      <c r="C27">
        <v>9</v>
      </c>
      <c r="D27" s="23">
        <f t="shared" si="0"/>
        <v>2.1000000000000001E-2</v>
      </c>
      <c r="E27" s="101"/>
      <c r="F27" s="166">
        <f t="shared" si="1"/>
        <v>290.03453439173472</v>
      </c>
      <c r="G27">
        <v>1</v>
      </c>
      <c r="H27" s="14"/>
      <c r="I27" s="14"/>
    </row>
    <row r="28" spans="3:9" ht="16.44">
      <c r="C28">
        <v>10</v>
      </c>
      <c r="D28" s="23">
        <f t="shared" si="0"/>
        <v>2.1000000000000001E-2</v>
      </c>
      <c r="E28" s="101"/>
      <c r="F28" s="166">
        <f>(F27-(F27*E28))*EXP(D28*30)</f>
        <v>544.57191012592909</v>
      </c>
      <c r="G28">
        <v>1</v>
      </c>
      <c r="H28" s="14"/>
      <c r="I28" s="14"/>
    </row>
    <row r="29" spans="3:9" ht="16.88" thickBot="1">
      <c r="C29">
        <v>11</v>
      </c>
      <c r="D29" s="23">
        <f t="shared" si="0"/>
        <v>-5.0125418235442863E-3</v>
      </c>
      <c r="E29" s="101"/>
      <c r="F29" s="167">
        <f t="shared" si="1"/>
        <v>468.54106283314002</v>
      </c>
      <c r="G29">
        <v>1</v>
      </c>
      <c r="H29" s="14"/>
      <c r="I29" s="14"/>
    </row>
    <row r="30" spans="3:9" ht="17.38" thickTop="1" thickBot="1">
      <c r="C30">
        <v>12</v>
      </c>
      <c r="D30" s="23">
        <f t="shared" si="0"/>
        <v>-5.0125418235442863E-3</v>
      </c>
      <c r="E30" s="139"/>
      <c r="F30" s="168">
        <f t="shared" si="1"/>
        <v>403.12532372454399</v>
      </c>
      <c r="G30" s="169">
        <v>1</v>
      </c>
      <c r="H30" s="14"/>
      <c r="I30" s="14"/>
    </row>
    <row r="31" spans="3:9" ht="16" customHeight="1" thickTop="1">
      <c r="E31" s="484" t="s">
        <v>351</v>
      </c>
      <c r="F31" s="480" t="s">
        <v>352</v>
      </c>
    </row>
    <row r="32" spans="3:9" ht="16" customHeight="1">
      <c r="E32" s="480"/>
      <c r="F32" s="480"/>
    </row>
    <row r="33" spans="1:19" ht="16" customHeight="1">
      <c r="E33" s="480"/>
      <c r="F33" s="480"/>
    </row>
    <row r="34" spans="1:19" ht="16.44">
      <c r="E34" s="480"/>
      <c r="F34" s="480"/>
      <c r="J34" s="92">
        <v>10</v>
      </c>
      <c r="K34" t="s">
        <v>353</v>
      </c>
    </row>
    <row r="35" spans="1:19" ht="16" customHeight="1">
      <c r="E35" s="480"/>
      <c r="F35" s="480"/>
      <c r="J35" s="485" t="s">
        <v>354</v>
      </c>
    </row>
    <row r="36" spans="1:19" ht="16" customHeight="1">
      <c r="E36" s="480"/>
      <c r="F36" s="480"/>
      <c r="J36" s="486"/>
    </row>
    <row r="37" spans="1:19" ht="16" customHeight="1">
      <c r="E37" s="480"/>
      <c r="F37" s="480"/>
      <c r="J37" s="486"/>
    </row>
    <row r="38" spans="1:19">
      <c r="J38" s="486"/>
    </row>
    <row r="39" spans="1:19">
      <c r="J39" s="486"/>
    </row>
    <row r="40" spans="1:19">
      <c r="J40" s="486"/>
    </row>
    <row r="41" spans="1:19" ht="16.44">
      <c r="A41" s="6" t="s">
        <v>355</v>
      </c>
    </row>
    <row r="44" spans="1:19">
      <c r="E44" s="171">
        <v>0.5</v>
      </c>
      <c r="F44" s="483" t="s">
        <v>356</v>
      </c>
      <c r="G44" s="383"/>
      <c r="H44" s="383"/>
      <c r="I44" s="383"/>
      <c r="J44" s="383"/>
      <c r="K44" s="383"/>
      <c r="L44" s="383"/>
      <c r="M44" s="383"/>
    </row>
    <row r="45" spans="1:19">
      <c r="B45" s="481" t="s">
        <v>357</v>
      </c>
      <c r="C45" s="481"/>
      <c r="F45" s="383" t="s">
        <v>358</v>
      </c>
      <c r="G45" s="383"/>
      <c r="H45" s="383"/>
      <c r="I45" s="383"/>
      <c r="J45" s="383"/>
      <c r="K45" s="383"/>
    </row>
    <row r="46" spans="1:19">
      <c r="B46" s="255" t="s">
        <v>359</v>
      </c>
      <c r="C46" s="255" t="s">
        <v>360</v>
      </c>
      <c r="O46" t="s">
        <v>361</v>
      </c>
    </row>
    <row r="47" spans="1:19" ht="16.44">
      <c r="B47" s="153">
        <v>0</v>
      </c>
      <c r="C47" s="257">
        <v>100</v>
      </c>
      <c r="O47" s="374" t="s">
        <v>362</v>
      </c>
      <c r="P47" s="37">
        <v>0.25</v>
      </c>
      <c r="Q47" s="37">
        <v>0.5</v>
      </c>
      <c r="R47" s="37">
        <v>0.75</v>
      </c>
      <c r="S47" s="37">
        <v>1</v>
      </c>
    </row>
    <row r="48" spans="1:19">
      <c r="B48" s="153">
        <f t="shared" ref="B48:B67" si="2">B47+15</f>
        <v>15</v>
      </c>
      <c r="C48" s="256">
        <f>C47*EXP(-$E$44*15)</f>
        <v>5.5308437014783364E-2</v>
      </c>
      <c r="N48" t="s">
        <v>363</v>
      </c>
      <c r="O48" s="374">
        <v>2.1000000000000001E-2</v>
      </c>
      <c r="P48" s="342">
        <f>$O48*(1-P47)</f>
        <v>1.575E-2</v>
      </c>
      <c r="Q48" s="342">
        <f t="shared" ref="Q48:S48" si="3">$O48*(1-Q47)</f>
        <v>1.0500000000000001E-2</v>
      </c>
      <c r="R48" s="342">
        <f t="shared" si="3"/>
        <v>5.2500000000000003E-3</v>
      </c>
      <c r="S48" s="342">
        <f t="shared" si="3"/>
        <v>0</v>
      </c>
    </row>
    <row r="49" spans="2:19">
      <c r="B49" s="153">
        <f t="shared" si="2"/>
        <v>30</v>
      </c>
      <c r="C49" s="256">
        <f t="shared" ref="C49:C67" si="4">C48*EXP(-$E$44*15)</f>
        <v>3.0590232050182587E-5</v>
      </c>
      <c r="M49" s="482" t="s">
        <v>364</v>
      </c>
      <c r="N49">
        <v>0</v>
      </c>
      <c r="O49" s="374">
        <v>1</v>
      </c>
      <c r="P49" s="374">
        <v>1</v>
      </c>
      <c r="Q49" s="374">
        <v>1</v>
      </c>
      <c r="R49" s="374">
        <v>1</v>
      </c>
      <c r="S49" s="374">
        <v>1</v>
      </c>
    </row>
    <row r="50" spans="2:19" ht="16.44">
      <c r="B50" s="153">
        <f t="shared" si="2"/>
        <v>45</v>
      </c>
      <c r="C50" s="256">
        <f t="shared" si="4"/>
        <v>1.6918979226151309E-8</v>
      </c>
      <c r="M50" s="482"/>
      <c r="N50">
        <v>1</v>
      </c>
      <c r="O50" s="166">
        <f>O49*EXP(O$48*30)</f>
        <v>1.8776105792643432</v>
      </c>
      <c r="P50" s="166">
        <f>P49*EXP(P$48*30)</f>
        <v>1.6039991828515145</v>
      </c>
      <c r="Q50" s="166">
        <f>Q49*EXP(Q$48*30)</f>
        <v>1.3702593109569967</v>
      </c>
      <c r="R50" s="166">
        <f t="shared" ref="R50" si="5">R49*EXP(R$48*30)</f>
        <v>1.1705807579816938</v>
      </c>
      <c r="S50" s="166">
        <f>S49*EXP(S$48*30)</f>
        <v>1</v>
      </c>
    </row>
    <row r="51" spans="2:19" ht="16.44">
      <c r="B51" s="153">
        <f t="shared" si="2"/>
        <v>60</v>
      </c>
      <c r="C51" s="256">
        <f t="shared" si="4"/>
        <v>9.357622968840179E-12</v>
      </c>
      <c r="M51" s="482"/>
      <c r="N51">
        <v>2</v>
      </c>
      <c r="O51" s="166">
        <f t="shared" ref="O51:O61" si="6">O50*EXP(O$48*30)</f>
        <v>3.5254214873653824</v>
      </c>
      <c r="P51" s="166">
        <f t="shared" ref="P51:P61" si="7">P50*EXP(P$48*30)</f>
        <v>2.5728133785883265</v>
      </c>
      <c r="Q51" s="166">
        <f t="shared" ref="Q51:Q61" si="8">Q50*EXP(Q$48*30)</f>
        <v>1.8776105792643434</v>
      </c>
      <c r="R51" s="166">
        <f t="shared" ref="R51:R61" si="9">R50*EXP(R$48*30)</f>
        <v>1.3702593109569967</v>
      </c>
      <c r="S51" s="166">
        <f t="shared" ref="S51:S61" si="10">S50*EXP(S$48*30)</f>
        <v>1</v>
      </c>
    </row>
    <row r="52" spans="2:19" ht="16.44">
      <c r="B52" s="153">
        <f t="shared" si="2"/>
        <v>75</v>
      </c>
      <c r="C52" s="256">
        <f t="shared" si="4"/>
        <v>5.1755550058018717E-15</v>
      </c>
      <c r="M52" s="482"/>
      <c r="N52">
        <v>3</v>
      </c>
      <c r="O52" s="166">
        <f t="shared" si="6"/>
        <v>6.6193686810430776</v>
      </c>
      <c r="P52" s="166">
        <f t="shared" si="7"/>
        <v>4.12679055688512</v>
      </c>
      <c r="Q52" s="166">
        <f t="shared" si="8"/>
        <v>2.5728133785883265</v>
      </c>
      <c r="R52" s="166">
        <f t="shared" si="9"/>
        <v>1.6039991828515148</v>
      </c>
      <c r="S52" s="166">
        <f t="shared" si="10"/>
        <v>1</v>
      </c>
    </row>
    <row r="53" spans="2:19" ht="16.44">
      <c r="B53" s="153">
        <f t="shared" si="2"/>
        <v>90</v>
      </c>
      <c r="C53" s="256">
        <f t="shared" si="4"/>
        <v>2.8625185805493955E-18</v>
      </c>
      <c r="M53" s="482"/>
      <c r="N53">
        <v>4</v>
      </c>
      <c r="O53" s="166">
        <f t="shared" si="6"/>
        <v>12.428596663577544</v>
      </c>
      <c r="P53" s="166">
        <f t="shared" si="7"/>
        <v>6.6193686810430794</v>
      </c>
      <c r="Q53" s="166">
        <f t="shared" si="8"/>
        <v>3.5254214873653829</v>
      </c>
      <c r="R53" s="166">
        <f t="shared" si="9"/>
        <v>1.8776105792643436</v>
      </c>
      <c r="S53" s="166">
        <f t="shared" si="10"/>
        <v>1</v>
      </c>
    </row>
    <row r="54" spans="2:19" ht="16.44">
      <c r="B54" s="153">
        <f t="shared" si="2"/>
        <v>105</v>
      </c>
      <c r="C54" s="256">
        <f t="shared" si="4"/>
        <v>1.5832142861596332E-21</v>
      </c>
      <c r="M54" s="482"/>
      <c r="N54">
        <v>5</v>
      </c>
      <c r="O54" s="166">
        <f t="shared" si="6"/>
        <v>23.336064580942715</v>
      </c>
      <c r="P54" s="166">
        <f t="shared" si="7"/>
        <v>10.617461955386007</v>
      </c>
      <c r="Q54" s="166">
        <f t="shared" si="8"/>
        <v>4.83074161811028</v>
      </c>
      <c r="R54" s="166">
        <f t="shared" si="9"/>
        <v>2.1978948150697026</v>
      </c>
      <c r="S54" s="166">
        <f t="shared" si="10"/>
        <v>1</v>
      </c>
    </row>
    <row r="55" spans="2:19" ht="16.44">
      <c r="B55" s="153">
        <f t="shared" si="2"/>
        <v>120</v>
      </c>
      <c r="C55" s="256">
        <f t="shared" si="4"/>
        <v>8.7565107626965268E-25</v>
      </c>
      <c r="M55" s="482"/>
      <c r="N55">
        <v>6</v>
      </c>
      <c r="O55" s="166">
        <f t="shared" si="6"/>
        <v>43.816041735573975</v>
      </c>
      <c r="P55" s="166">
        <f t="shared" si="7"/>
        <v>17.030400300396199</v>
      </c>
      <c r="Q55" s="166">
        <f t="shared" si="8"/>
        <v>6.6193686810430794</v>
      </c>
      <c r="R55" s="166">
        <f t="shared" si="9"/>
        <v>2.5728133785883274</v>
      </c>
      <c r="S55" s="166">
        <f t="shared" si="10"/>
        <v>1</v>
      </c>
    </row>
    <row r="56" spans="2:19" ht="16.44">
      <c r="B56" s="153">
        <f t="shared" si="2"/>
        <v>135</v>
      </c>
      <c r="C56" s="256">
        <f t="shared" si="4"/>
        <v>4.8430892398787348E-28</v>
      </c>
      <c r="M56" s="482"/>
      <c r="N56">
        <v>7</v>
      </c>
      <c r="O56" s="166">
        <f t="shared" si="6"/>
        <v>82.269463504201681</v>
      </c>
      <c r="P56" s="166">
        <f t="shared" si="7"/>
        <v>27.31674816546969</v>
      </c>
      <c r="Q56" s="166">
        <f t="shared" si="8"/>
        <v>9.0702515678564133</v>
      </c>
      <c r="R56" s="166">
        <f t="shared" si="9"/>
        <v>3.0116858348533668</v>
      </c>
      <c r="S56" s="166">
        <f t="shared" si="10"/>
        <v>1</v>
      </c>
    </row>
    <row r="57" spans="2:19" ht="16.44">
      <c r="B57" s="153">
        <f t="shared" si="2"/>
        <v>150</v>
      </c>
      <c r="C57" s="256">
        <f t="shared" si="4"/>
        <v>2.6786369618080803E-31</v>
      </c>
      <c r="M57" s="482"/>
      <c r="N57">
        <v>8</v>
      </c>
      <c r="O57" s="166">
        <f t="shared" si="6"/>
        <v>154.47001502589086</v>
      </c>
      <c r="P57" s="166">
        <f t="shared" si="7"/>
        <v>43.81604173557399</v>
      </c>
      <c r="Q57" s="166">
        <f t="shared" si="8"/>
        <v>12.428596663577547</v>
      </c>
      <c r="R57" s="166">
        <f t="shared" si="9"/>
        <v>3.5254214873653846</v>
      </c>
      <c r="S57" s="166">
        <f t="shared" si="10"/>
        <v>1</v>
      </c>
    </row>
    <row r="58" spans="2:19" ht="16.44">
      <c r="B58" s="153">
        <f t="shared" si="2"/>
        <v>165</v>
      </c>
      <c r="C58" s="256">
        <f t="shared" si="4"/>
        <v>1.4815122368763289E-34</v>
      </c>
      <c r="M58" s="482"/>
      <c r="N58">
        <v>9</v>
      </c>
      <c r="O58" s="166">
        <f t="shared" si="6"/>
        <v>290.03453439173472</v>
      </c>
      <c r="P58" s="166">
        <f t="shared" si="7"/>
        <v>70.280895139648536</v>
      </c>
      <c r="Q58" s="166">
        <f t="shared" si="8"/>
        <v>17.030400300396199</v>
      </c>
      <c r="R58" s="166">
        <f t="shared" si="9"/>
        <v>4.1267905568851226</v>
      </c>
      <c r="S58" s="166">
        <f t="shared" si="10"/>
        <v>1</v>
      </c>
    </row>
    <row r="59" spans="2:19" ht="16.44">
      <c r="B59" s="153">
        <f t="shared" si="2"/>
        <v>180</v>
      </c>
      <c r="C59" s="256">
        <f t="shared" si="4"/>
        <v>8.1940126239905245E-38</v>
      </c>
      <c r="M59" s="482"/>
      <c r="N59">
        <v>10</v>
      </c>
      <c r="O59" s="166">
        <f t="shared" si="6"/>
        <v>544.57191012592909</v>
      </c>
      <c r="P59" s="166">
        <f t="shared" si="7"/>
        <v>112.73049837406923</v>
      </c>
      <c r="Q59" s="166">
        <f t="shared" si="8"/>
        <v>23.336064580942725</v>
      </c>
      <c r="R59" s="166">
        <f t="shared" si="9"/>
        <v>4.8307416181102836</v>
      </c>
      <c r="S59" s="166">
        <f t="shared" si="10"/>
        <v>1</v>
      </c>
    </row>
    <row r="60" spans="2:19" ht="16.44">
      <c r="B60" s="153">
        <f t="shared" si="2"/>
        <v>195</v>
      </c>
      <c r="C60" s="256">
        <f t="shared" si="4"/>
        <v>4.5319803111231965E-41</v>
      </c>
      <c r="M60" s="482"/>
      <c r="N60">
        <v>11</v>
      </c>
      <c r="O60" s="166">
        <f t="shared" si="6"/>
        <v>1022.4939796226355</v>
      </c>
      <c r="P60" s="166">
        <f t="shared" si="7"/>
        <v>180.81962727445102</v>
      </c>
      <c r="Q60" s="166">
        <f t="shared" si="8"/>
        <v>31.976459773130554</v>
      </c>
      <c r="R60" s="166">
        <f t="shared" si="9"/>
        <v>5.6547731849412495</v>
      </c>
      <c r="S60" s="166">
        <f t="shared" si="10"/>
        <v>1</v>
      </c>
    </row>
    <row r="61" spans="2:19" ht="16.44">
      <c r="B61" s="153">
        <f t="shared" si="2"/>
        <v>210</v>
      </c>
      <c r="C61" s="256">
        <f t="shared" si="4"/>
        <v>2.5065674758999564E-44</v>
      </c>
      <c r="M61" s="482"/>
      <c r="N61">
        <v>12</v>
      </c>
      <c r="O61" s="166">
        <f t="shared" si="6"/>
        <v>1919.8455133735602</v>
      </c>
      <c r="P61" s="166">
        <f t="shared" si="7"/>
        <v>290.03453439173489</v>
      </c>
      <c r="Q61" s="166">
        <f t="shared" si="8"/>
        <v>43.816041735573997</v>
      </c>
      <c r="R61" s="166">
        <f t="shared" si="9"/>
        <v>6.6193686810430847</v>
      </c>
      <c r="S61" s="166">
        <f t="shared" si="10"/>
        <v>1</v>
      </c>
    </row>
    <row r="62" spans="2:19">
      <c r="B62" s="153">
        <f t="shared" si="2"/>
        <v>225</v>
      </c>
      <c r="C62" s="256">
        <f t="shared" si="4"/>
        <v>1.3863432936411726E-47</v>
      </c>
      <c r="O62" s="374"/>
      <c r="P62" s="46"/>
      <c r="Q62" s="374"/>
      <c r="R62" s="374"/>
      <c r="S62" s="374"/>
    </row>
    <row r="63" spans="2:19">
      <c r="B63" s="153">
        <f t="shared" si="2"/>
        <v>240</v>
      </c>
      <c r="C63" s="256">
        <f t="shared" si="4"/>
        <v>7.6676480737220112E-51</v>
      </c>
      <c r="O63" s="374"/>
      <c r="P63" s="46"/>
      <c r="Q63" s="374"/>
      <c r="R63" s="374"/>
      <c r="S63" s="374"/>
    </row>
    <row r="64" spans="2:19">
      <c r="B64" s="153">
        <f t="shared" si="2"/>
        <v>255</v>
      </c>
      <c r="C64" s="256">
        <f t="shared" si="4"/>
        <v>4.2408563053697883E-54</v>
      </c>
      <c r="O64" s="374"/>
      <c r="P64" s="46"/>
      <c r="Q64" s="374"/>
      <c r="R64" s="374"/>
      <c r="S64" s="374"/>
    </row>
    <row r="65" spans="2:16">
      <c r="B65" s="153">
        <f t="shared" si="2"/>
        <v>270</v>
      </c>
      <c r="C65" s="256">
        <f t="shared" si="4"/>
        <v>2.3455513385429182E-57</v>
      </c>
      <c r="P65" s="14"/>
    </row>
    <row r="66" spans="2:16">
      <c r="B66" s="153">
        <f t="shared" si="2"/>
        <v>285</v>
      </c>
      <c r="C66" s="256">
        <f t="shared" si="4"/>
        <v>1.2972877847274181E-60</v>
      </c>
      <c r="P66" s="14"/>
    </row>
    <row r="67" spans="2:16">
      <c r="B67" s="153">
        <f t="shared" si="2"/>
        <v>300</v>
      </c>
      <c r="C67" s="256">
        <f t="shared" si="4"/>
        <v>7.1750959731644244E-64</v>
      </c>
      <c r="P67" s="14"/>
    </row>
    <row r="68" spans="2:16">
      <c r="P68" s="14"/>
    </row>
    <row r="69" spans="2:16">
      <c r="P69" s="14"/>
    </row>
    <row r="70" spans="2:16">
      <c r="P70" s="14"/>
    </row>
    <row r="71" spans="2:16">
      <c r="P71" s="14"/>
    </row>
    <row r="72" spans="2:16">
      <c r="P72" s="14"/>
    </row>
    <row r="73" spans="2:16">
      <c r="P73" s="14"/>
    </row>
    <row r="74" spans="2:16">
      <c r="P74" s="14"/>
    </row>
    <row r="75" spans="2:16">
      <c r="P75" s="14"/>
    </row>
    <row r="76" spans="2:16">
      <c r="P76" s="14"/>
    </row>
    <row r="77" spans="2:16">
      <c r="P77" s="14"/>
    </row>
    <row r="78" spans="2:16">
      <c r="P78" s="14"/>
    </row>
    <row r="79" spans="2:16">
      <c r="P79" s="14"/>
    </row>
    <row r="80" spans="2:16">
      <c r="P80" s="14"/>
    </row>
    <row r="81" spans="16:16">
      <c r="P81" s="14"/>
    </row>
    <row r="82" spans="16:16">
      <c r="P82" s="14"/>
    </row>
    <row r="83" spans="16:16">
      <c r="P83" s="14"/>
    </row>
    <row r="84" spans="16:16">
      <c r="P84" s="14"/>
    </row>
    <row r="85" spans="16:16">
      <c r="P85" s="14"/>
    </row>
    <row r="86" spans="16:16">
      <c r="P86" s="14"/>
    </row>
    <row r="87" spans="16:16">
      <c r="P87" s="14"/>
    </row>
    <row r="88" spans="16:16">
      <c r="P88" s="14"/>
    </row>
    <row r="89" spans="16:16">
      <c r="P89" s="14"/>
    </row>
    <row r="90" spans="16:16">
      <c r="P90" s="14"/>
    </row>
    <row r="91" spans="16:16">
      <c r="P91" s="14"/>
    </row>
    <row r="92" spans="16:16">
      <c r="P92" s="14"/>
    </row>
    <row r="93" spans="16:16">
      <c r="P93" s="14"/>
    </row>
    <row r="94" spans="16:16">
      <c r="P94" s="14"/>
    </row>
    <row r="95" spans="16:16">
      <c r="P95" s="14"/>
    </row>
    <row r="96" spans="16:16">
      <c r="P96" s="14"/>
    </row>
    <row r="97" spans="16:16">
      <c r="P97" s="14"/>
    </row>
    <row r="98" spans="16:16">
      <c r="P98" s="14"/>
    </row>
    <row r="99" spans="16:16">
      <c r="P99" s="14"/>
    </row>
    <row r="100" spans="16:16">
      <c r="P100" s="14"/>
    </row>
    <row r="101" spans="16:16">
      <c r="P101" s="14"/>
    </row>
    <row r="102" spans="16:16">
      <c r="P102" s="14"/>
    </row>
    <row r="103" spans="16:16">
      <c r="P103" s="14"/>
    </row>
    <row r="104" spans="16:16">
      <c r="P104" s="14"/>
    </row>
    <row r="105" spans="16:16">
      <c r="P105" s="14"/>
    </row>
    <row r="106" spans="16:16">
      <c r="P106" s="14"/>
    </row>
  </sheetData>
  <customSheetViews>
    <customSheetView guid="{40D14490-07BB-46F3-8435-9C462BE853EE}" scale="90" topLeftCell="A9">
      <selection activeCell="AO25" sqref="AO25"/>
      <pageMargins left="0" right="0" top="0" bottom="0" header="0" footer="0"/>
      <pageSetup orientation="portrait" r:id="rId1"/>
    </customSheetView>
    <customSheetView guid="{C5ECCA7E-81F6-46F5-BEA0-A5F2DAD22AC9}" scale="90" topLeftCell="A9">
      <selection activeCell="AO25" sqref="AO25"/>
      <pageMargins left="0" right="0" top="0" bottom="0" header="0" footer="0"/>
      <pageSetup orientation="portrait" r:id="rId2"/>
    </customSheetView>
  </customSheetViews>
  <mergeCells count="8">
    <mergeCell ref="A11:B16"/>
    <mergeCell ref="F31:F37"/>
    <mergeCell ref="B45:C45"/>
    <mergeCell ref="M49:M61"/>
    <mergeCell ref="F45:K45"/>
    <mergeCell ref="F44:M44"/>
    <mergeCell ref="E31:E37"/>
    <mergeCell ref="J35:J40"/>
  </mergeCell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1A9A2"/>
  </sheetPr>
  <dimension ref="C9:P44"/>
  <sheetViews>
    <sheetView workbookViewId="0" showGridLines="0" zoomScale="90" topLeftCell="A1">
      <selection activeCell="K31" sqref="K31"/>
    </sheetView>
  </sheetViews>
  <sheetFormatPr defaultColWidth="10.449" defaultRowHeight="16"/>
  <cols>
    <col min="4" max="9" width="12.302" customWidth="1"/>
    <col min="10" max="11" width="14.662" customWidth="1"/>
  </cols>
  <sheetData>
    <row r="9" spans="3:12" ht="16.44">
      <c r="G9" s="55" t="s">
        <v>365</v>
      </c>
      <c r="H9" s="308">
        <f>'Modèle principal'!BA34</f>
        <v>0</v>
      </c>
    </row>
    <row r="10" spans="3:12" s="16" customFormat="1" ht="65.62">
      <c r="F10" s="355" t="s">
        <v>175</v>
      </c>
      <c r="G10" s="355" t="s">
        <v>178</v>
      </c>
      <c r="H10" s="355" t="s">
        <v>180</v>
      </c>
      <c r="I10" s="355" t="s">
        <v>183</v>
      </c>
      <c r="J10" s="355" t="s">
        <v>187</v>
      </c>
      <c r="K10" s="355" t="s">
        <v>366</v>
      </c>
    </row>
    <row r="11" spans="3:12" ht="18.75">
      <c r="C11" s="401" t="s">
        <v>367</v>
      </c>
      <c r="D11" s="401"/>
      <c r="E11" s="401"/>
      <c r="F11" s="309">
        <v>0</v>
      </c>
      <c r="G11" s="309">
        <v>1</v>
      </c>
      <c r="H11" s="309">
        <v>2</v>
      </c>
      <c r="I11" s="309">
        <v>3</v>
      </c>
      <c r="J11" s="309">
        <v>4</v>
      </c>
      <c r="K11" s="310" t="s">
        <v>188</v>
      </c>
    </row>
    <row r="12" spans="3:12" ht="16.44">
      <c r="D12" s="312">
        <f>'Modèle principal'!BA5</f>
        <v>40544</v>
      </c>
      <c r="E12" s="348">
        <f t="shared" ref="E12:E35" si="0">IF($H$9=0,0,IF($H$9=1,G12,IF($H$9=2,H12,IF($H$9=3,I12,IF($H$9=4,J12,IF($H$9="x",K12,"erreur"))))))</f>
        <v>0</v>
      </c>
      <c r="F12" s="376"/>
      <c r="G12" s="376"/>
      <c r="H12" s="376"/>
      <c r="I12" s="376"/>
      <c r="J12" s="374"/>
      <c r="K12" s="307"/>
      <c r="L12" s="2">
        <f t="shared" ref="L12:L35" si="1">D12</f>
        <v>40544</v>
      </c>
    </row>
    <row r="13" spans="3:12" ht="16.44">
      <c r="D13" s="313">
        <f>'Modèle principal'!BA6</f>
        <v>40558</v>
      </c>
      <c r="E13" s="348">
        <f t="shared" si="0"/>
        <v>0</v>
      </c>
      <c r="F13" s="376"/>
      <c r="G13" s="376"/>
      <c r="H13" s="376"/>
      <c r="I13" s="376"/>
      <c r="J13" s="374"/>
      <c r="K13" s="92"/>
      <c r="L13" s="2">
        <f t="shared" si="1"/>
        <v>40558</v>
      </c>
    </row>
    <row r="14" spans="3:12" ht="16.44">
      <c r="D14" s="313">
        <f>'Modèle principal'!BA7</f>
        <v>40575</v>
      </c>
      <c r="E14" s="348">
        <f t="shared" si="0"/>
        <v>0</v>
      </c>
      <c r="F14" s="376"/>
      <c r="G14" s="376"/>
      <c r="H14" s="376"/>
      <c r="I14" s="376"/>
      <c r="J14" s="374"/>
      <c r="K14" s="226"/>
      <c r="L14" s="2">
        <f t="shared" si="1"/>
        <v>40575</v>
      </c>
    </row>
    <row r="15" spans="3:12" ht="16.44">
      <c r="D15" s="313">
        <f>'Modèle principal'!BA8</f>
        <v>40589</v>
      </c>
      <c r="E15" s="348">
        <f t="shared" si="0"/>
        <v>0</v>
      </c>
      <c r="F15" s="376"/>
      <c r="G15" s="376"/>
      <c r="H15" s="376"/>
      <c r="I15" s="376"/>
      <c r="J15" s="314"/>
      <c r="K15" s="92"/>
      <c r="L15" s="311">
        <f t="shared" si="1"/>
        <v>40589</v>
      </c>
    </row>
    <row r="16" spans="3:12" ht="16.44">
      <c r="D16" s="313">
        <f>'Modèle principal'!BA9</f>
        <v>40603</v>
      </c>
      <c r="E16" s="348">
        <f t="shared" si="0"/>
        <v>0</v>
      </c>
      <c r="F16" s="376"/>
      <c r="G16" s="376"/>
      <c r="H16" s="376"/>
      <c r="I16" s="376"/>
      <c r="J16" s="314"/>
      <c r="K16" s="92"/>
      <c r="L16" s="311">
        <f t="shared" si="1"/>
        <v>40603</v>
      </c>
    </row>
    <row r="17" spans="4:16" ht="16.44">
      <c r="D17" s="313">
        <f>'Modèle principal'!BA10</f>
        <v>40617</v>
      </c>
      <c r="E17" s="348">
        <f t="shared" si="0"/>
        <v>0</v>
      </c>
      <c r="F17" s="376"/>
      <c r="G17" s="376"/>
      <c r="H17" s="376"/>
      <c r="I17" s="376"/>
      <c r="J17" s="314"/>
      <c r="K17" s="92"/>
      <c r="L17" s="311">
        <f t="shared" si="1"/>
        <v>40617</v>
      </c>
    </row>
    <row r="18" spans="4:16" ht="16.44">
      <c r="D18" s="313">
        <f>'Modèle principal'!BA11</f>
        <v>40634</v>
      </c>
      <c r="E18" s="348">
        <f t="shared" si="0"/>
        <v>0</v>
      </c>
      <c r="F18" s="376"/>
      <c r="G18" s="376"/>
      <c r="H18" s="376"/>
      <c r="I18" s="376"/>
      <c r="J18" s="314"/>
      <c r="K18" s="92"/>
      <c r="L18" s="311">
        <f t="shared" si="1"/>
        <v>40634</v>
      </c>
    </row>
    <row r="19" spans="4:16" ht="16.44">
      <c r="D19" s="313">
        <f>'Modèle principal'!BA12</f>
        <v>40648</v>
      </c>
      <c r="E19" s="348">
        <f t="shared" si="0"/>
        <v>0</v>
      </c>
      <c r="F19" s="376"/>
      <c r="G19" s="376"/>
      <c r="H19" s="376"/>
      <c r="I19" s="376"/>
      <c r="J19" s="314"/>
      <c r="K19" s="92"/>
      <c r="L19" s="311">
        <f t="shared" si="1"/>
        <v>40648</v>
      </c>
    </row>
    <row r="20" spans="4:16" ht="16.44">
      <c r="D20" s="313">
        <f>'Modèle principal'!BA13</f>
        <v>40664</v>
      </c>
      <c r="E20" s="348">
        <f t="shared" si="0"/>
        <v>0</v>
      </c>
      <c r="F20" s="347"/>
      <c r="G20" s="376"/>
      <c r="H20" s="314"/>
      <c r="I20" s="376"/>
      <c r="J20" s="314"/>
      <c r="K20" s="92"/>
      <c r="L20" s="311">
        <f t="shared" si="1"/>
        <v>40664</v>
      </c>
    </row>
    <row r="21" spans="4:16" ht="16.44">
      <c r="D21" s="313">
        <f>'Modèle principal'!BA14</f>
        <v>40678</v>
      </c>
      <c r="E21" s="348">
        <f t="shared" si="0"/>
        <v>0</v>
      </c>
      <c r="F21" s="347"/>
      <c r="G21" s="376"/>
      <c r="H21" s="314"/>
      <c r="I21" s="376"/>
      <c r="J21" s="314"/>
      <c r="K21" s="92"/>
      <c r="L21" s="311">
        <f t="shared" si="1"/>
        <v>40678</v>
      </c>
    </row>
    <row r="22" spans="4:16">
      <c r="D22" s="313">
        <f>'Modèle principal'!BA15</f>
        <v>40695</v>
      </c>
      <c r="E22" s="348">
        <f t="shared" si="0"/>
        <v>0</v>
      </c>
      <c r="F22" s="347">
        <v>0</v>
      </c>
      <c r="G22" s="376">
        <v>1</v>
      </c>
      <c r="H22" s="314">
        <v>2</v>
      </c>
      <c r="I22" s="376">
        <v>5</v>
      </c>
      <c r="J22" s="376">
        <v>10</v>
      </c>
      <c r="K22" s="121">
        <v>5</v>
      </c>
      <c r="L22" s="311">
        <f t="shared" si="1"/>
        <v>40695</v>
      </c>
    </row>
    <row r="23" spans="4:16">
      <c r="D23" s="313">
        <f>'Modèle principal'!BA16</f>
        <v>40709</v>
      </c>
      <c r="E23" s="348">
        <f t="shared" si="0"/>
        <v>0</v>
      </c>
      <c r="F23" s="347">
        <v>0</v>
      </c>
      <c r="G23" s="376">
        <v>2</v>
      </c>
      <c r="H23" s="314">
        <v>3</v>
      </c>
      <c r="I23" s="376">
        <v>5</v>
      </c>
      <c r="J23" s="376">
        <v>20</v>
      </c>
      <c r="K23" s="121">
        <v>5</v>
      </c>
      <c r="L23" s="311">
        <f t="shared" si="1"/>
        <v>40709</v>
      </c>
    </row>
    <row r="24" spans="4:16">
      <c r="D24" s="313">
        <f>'Modèle principal'!BA17</f>
        <v>40725</v>
      </c>
      <c r="E24" s="348">
        <f t="shared" si="0"/>
        <v>0</v>
      </c>
      <c r="F24" s="347">
        <v>0</v>
      </c>
      <c r="G24" s="376">
        <v>3</v>
      </c>
      <c r="H24" s="314">
        <v>5</v>
      </c>
      <c r="I24" s="376">
        <v>15</v>
      </c>
      <c r="J24" s="376">
        <v>30</v>
      </c>
      <c r="K24" s="121">
        <v>15</v>
      </c>
      <c r="L24" s="311">
        <f t="shared" si="1"/>
        <v>40725</v>
      </c>
    </row>
    <row r="25" spans="4:16">
      <c r="D25" s="313">
        <f>'Modèle principal'!BA18</f>
        <v>40739</v>
      </c>
      <c r="E25" s="348">
        <f t="shared" si="0"/>
        <v>0</v>
      </c>
      <c r="F25" s="347">
        <v>0</v>
      </c>
      <c r="G25" s="376">
        <v>5</v>
      </c>
      <c r="H25" s="314">
        <v>10</v>
      </c>
      <c r="I25" s="376">
        <v>20</v>
      </c>
      <c r="J25" s="376">
        <v>45</v>
      </c>
      <c r="K25" s="121">
        <v>20</v>
      </c>
      <c r="L25" s="311">
        <f t="shared" si="1"/>
        <v>40739</v>
      </c>
    </row>
    <row r="26" spans="4:16">
      <c r="D26" s="313">
        <f>'Modèle principal'!BA19</f>
        <v>40756</v>
      </c>
      <c r="E26" s="348">
        <f t="shared" si="0"/>
        <v>0</v>
      </c>
      <c r="F26" s="347">
        <v>0</v>
      </c>
      <c r="G26" s="376">
        <v>8</v>
      </c>
      <c r="H26" s="314">
        <v>15</v>
      </c>
      <c r="I26" s="376">
        <v>50</v>
      </c>
      <c r="J26" s="154">
        <v>130</v>
      </c>
      <c r="K26" s="121">
        <v>50</v>
      </c>
      <c r="L26" s="311">
        <f t="shared" si="1"/>
        <v>40756</v>
      </c>
    </row>
    <row r="27" spans="4:16">
      <c r="D27" s="313">
        <f>'Modèle principal'!BA20</f>
        <v>40770</v>
      </c>
      <c r="E27" s="348">
        <f t="shared" si="0"/>
        <v>0</v>
      </c>
      <c r="F27" s="347">
        <v>0</v>
      </c>
      <c r="G27" s="376">
        <v>15</v>
      </c>
      <c r="H27" s="314">
        <v>30</v>
      </c>
      <c r="I27" s="376">
        <v>100</v>
      </c>
      <c r="J27" s="154">
        <v>175</v>
      </c>
      <c r="K27" s="121">
        <v>100</v>
      </c>
      <c r="L27" s="311">
        <f t="shared" si="1"/>
        <v>40770</v>
      </c>
      <c r="P27" s="374">
        <f>H22/2</f>
        <v>1</v>
      </c>
    </row>
    <row r="28" spans="4:16">
      <c r="D28" s="313">
        <f>'Modèle principal'!BA21</f>
        <v>40787</v>
      </c>
      <c r="E28" s="348">
        <f t="shared" si="0"/>
        <v>0</v>
      </c>
      <c r="F28" s="347">
        <v>0</v>
      </c>
      <c r="G28" s="376">
        <v>20</v>
      </c>
      <c r="H28" s="314">
        <v>40</v>
      </c>
      <c r="I28" s="376">
        <v>125</v>
      </c>
      <c r="J28" s="154">
        <v>210</v>
      </c>
      <c r="K28" s="121">
        <v>125</v>
      </c>
      <c r="L28" s="311">
        <f t="shared" si="1"/>
        <v>40787</v>
      </c>
      <c r="P28" s="374">
        <f t="shared" ref="P28:P40" si="2">H23/2</f>
        <v>1.5</v>
      </c>
    </row>
    <row r="29" spans="4:16">
      <c r="D29" s="313">
        <f>'Modèle principal'!BA22</f>
        <v>40801</v>
      </c>
      <c r="E29" s="348">
        <f t="shared" si="0"/>
        <v>0</v>
      </c>
      <c r="F29" s="347">
        <v>0</v>
      </c>
      <c r="G29" s="376">
        <v>25</v>
      </c>
      <c r="H29" s="314">
        <v>50</v>
      </c>
      <c r="I29" s="376">
        <v>100</v>
      </c>
      <c r="J29" s="154">
        <v>180</v>
      </c>
      <c r="K29" s="121">
        <v>100</v>
      </c>
      <c r="L29" s="311">
        <f t="shared" si="1"/>
        <v>40801</v>
      </c>
      <c r="P29" s="374">
        <f t="shared" si="2"/>
        <v>2.5</v>
      </c>
    </row>
    <row r="30" spans="4:16">
      <c r="D30" s="313">
        <f>'Modèle principal'!BA23</f>
        <v>40817</v>
      </c>
      <c r="E30" s="348">
        <f t="shared" si="0"/>
        <v>0</v>
      </c>
      <c r="F30" s="347">
        <v>0</v>
      </c>
      <c r="G30" s="376">
        <v>15</v>
      </c>
      <c r="H30" s="314">
        <v>30</v>
      </c>
      <c r="I30" s="376">
        <v>50</v>
      </c>
      <c r="J30" s="154">
        <v>130</v>
      </c>
      <c r="K30" s="121">
        <v>80</v>
      </c>
      <c r="L30" s="311">
        <f t="shared" si="1"/>
        <v>40817</v>
      </c>
      <c r="P30" s="374">
        <f t="shared" si="2"/>
        <v>5</v>
      </c>
    </row>
    <row r="31" spans="4:16">
      <c r="D31" s="313">
        <f>'Modèle principal'!BA24</f>
        <v>40831</v>
      </c>
      <c r="E31" s="348">
        <f t="shared" si="0"/>
        <v>0</v>
      </c>
      <c r="F31" s="347">
        <v>0</v>
      </c>
      <c r="G31" s="376">
        <v>6</v>
      </c>
      <c r="H31" s="314">
        <v>15</v>
      </c>
      <c r="I31" s="376">
        <v>30</v>
      </c>
      <c r="J31" s="154">
        <v>70</v>
      </c>
      <c r="K31" s="121"/>
      <c r="L31" s="311">
        <f t="shared" si="1"/>
        <v>40831</v>
      </c>
      <c r="P31" s="374">
        <f t="shared" si="2"/>
        <v>7.5</v>
      </c>
    </row>
    <row r="32" spans="4:16">
      <c r="D32" s="313">
        <f>'Modèle principal'!BA25</f>
        <v>40848</v>
      </c>
      <c r="E32" s="348">
        <f t="shared" si="0"/>
        <v>0</v>
      </c>
      <c r="F32" s="347"/>
      <c r="G32" s="376"/>
      <c r="H32" s="314"/>
      <c r="I32" s="376"/>
      <c r="J32" s="154"/>
      <c r="K32" s="121"/>
      <c r="L32" s="311">
        <f t="shared" si="1"/>
        <v>40848</v>
      </c>
      <c r="P32" s="374">
        <f t="shared" si="2"/>
        <v>15</v>
      </c>
    </row>
    <row r="33" spans="3:16" ht="16.44">
      <c r="D33" s="313">
        <f>'Modèle principal'!BA26</f>
        <v>40862</v>
      </c>
      <c r="E33" s="348">
        <f t="shared" si="0"/>
        <v>0</v>
      </c>
      <c r="F33" s="347"/>
      <c r="G33" s="153"/>
      <c r="H33" s="314"/>
      <c r="I33" s="154"/>
      <c r="J33" s="314"/>
      <c r="K33" s="306"/>
      <c r="L33" s="311">
        <f t="shared" si="1"/>
        <v>40862</v>
      </c>
      <c r="P33" s="374">
        <f t="shared" si="2"/>
        <v>20</v>
      </c>
    </row>
    <row r="34" spans="3:16" ht="16.44">
      <c r="D34" s="313">
        <f>'Modèle principal'!BA27</f>
        <v>40878</v>
      </c>
      <c r="E34" s="348">
        <f t="shared" si="0"/>
        <v>0</v>
      </c>
      <c r="F34" s="376"/>
      <c r="G34" s="153"/>
      <c r="H34" s="376"/>
      <c r="I34" s="154"/>
      <c r="J34" s="314"/>
      <c r="K34" s="306"/>
      <c r="L34" s="311">
        <f t="shared" si="1"/>
        <v>40878</v>
      </c>
      <c r="P34" s="374">
        <f t="shared" si="2"/>
        <v>25</v>
      </c>
    </row>
    <row r="35" spans="3:16" ht="16.44">
      <c r="D35" s="313">
        <f>'Modèle principal'!BA28</f>
        <v>40892</v>
      </c>
      <c r="E35" s="348">
        <f t="shared" si="0"/>
        <v>0</v>
      </c>
      <c r="F35" s="376"/>
      <c r="G35" s="153"/>
      <c r="H35" s="376"/>
      <c r="I35" s="154"/>
      <c r="J35" s="314"/>
      <c r="K35" s="306"/>
      <c r="L35" s="311">
        <f t="shared" si="1"/>
        <v>40892</v>
      </c>
      <c r="P35" s="374">
        <f t="shared" si="2"/>
        <v>15</v>
      </c>
    </row>
    <row r="36" spans="3:16" ht="16.44">
      <c r="C36" s="77" t="s">
        <v>368</v>
      </c>
      <c r="D36" s="77"/>
      <c r="E36" s="360">
        <f>SUM(E12:E35)</f>
        <v>0</v>
      </c>
      <c r="F36" s="303">
        <f t="shared" ref="F36:I36" si="3">SUM(F12:F35)</f>
        <v>0</v>
      </c>
      <c r="G36" s="303">
        <f>SUM(G12:G35)</f>
        <v>100</v>
      </c>
      <c r="H36" s="303">
        <f t="shared" si="3"/>
        <v>200</v>
      </c>
      <c r="I36" s="303">
        <f t="shared" si="3"/>
        <v>500</v>
      </c>
      <c r="J36" s="303">
        <f>SUM(J12:J35)</f>
        <v>1000</v>
      </c>
      <c r="K36" s="356">
        <f>SUM(K12:K35)</f>
        <v>500</v>
      </c>
      <c r="P36" s="374">
        <f t="shared" si="2"/>
        <v>7.5</v>
      </c>
    </row>
    <row r="37" spans="3:16">
      <c r="P37" s="374">
        <f t="shared" si="2"/>
        <v>0</v>
      </c>
    </row>
    <row r="38" spans="3:16">
      <c r="P38" s="374">
        <f t="shared" si="2"/>
        <v>0</v>
      </c>
    </row>
    <row r="39" spans="3:16">
      <c r="P39" s="374">
        <f t="shared" si="2"/>
        <v>0</v>
      </c>
    </row>
    <row r="40" spans="3:16">
      <c r="P40" s="374">
        <f t="shared" si="2"/>
        <v>0</v>
      </c>
    </row>
    <row r="41" spans="3:16">
      <c r="P41" s="374"/>
    </row>
    <row r="42" spans="3:16">
      <c r="P42" s="374"/>
    </row>
    <row r="43" spans="3:16">
      <c r="P43" s="374"/>
    </row>
    <row r="44" spans="3:16">
      <c r="P44" s="374"/>
    </row>
  </sheetData>
  <customSheetViews>
    <customSheetView guid="{40D14490-07BB-46F3-8435-9C462BE853EE}" topLeftCell="A12">
      <selection activeCell="M24" sqref="M24"/>
      <pageMargins left="0" right="0" top="0" bottom="0" header="0" footer="0"/>
    </customSheetView>
    <customSheetView guid="{C5ECCA7E-81F6-46F5-BEA0-A5F2DAD22AC9}" topLeftCell="A12">
      <selection activeCell="M24" sqref="M24"/>
      <pageMargins left="0" right="0" top="0" bottom="0" header="0" footer="0"/>
    </customSheetView>
  </customSheetViews>
  <mergeCells count="1">
    <mergeCell ref="C11:E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rgb="FFC49A48"/>
  </sheetPr>
  <dimension ref="C1:AG124"/>
  <sheetViews>
    <sheetView topLeftCell="A1" zoomScale="90" zoomScaleNormal="85" workbookViewId="0" showGridLines="0">
      <selection activeCell="B33" sqref="B33:D50"/>
    </sheetView>
  </sheetViews>
  <sheetFormatPr defaultColWidth="10.449" defaultRowHeight="16"/>
  <sheetData>
    <row r="1" spans="7:8">
      <c r="G1" s="212"/>
      <c r="H1" t="s">
        <v>369</v>
      </c>
    </row>
    <row r="23" spans="8:28" ht="16" customHeight="1">
      <c r="Q23" s="378" t="s">
        <v>370</v>
      </c>
      <c r="R23" s="378"/>
      <c r="S23" s="378"/>
      <c r="T23" s="378"/>
      <c r="U23" s="378"/>
      <c r="V23" s="378"/>
      <c r="W23" s="378"/>
      <c r="X23" s="378"/>
    </row>
    <row r="24" spans="8:28">
      <c r="Q24" s="378"/>
      <c r="R24" s="378"/>
      <c r="S24" s="378"/>
      <c r="T24" s="378"/>
      <c r="U24" s="378"/>
      <c r="V24" s="378"/>
      <c r="W24" s="378"/>
      <c r="X24" s="378"/>
    </row>
    <row r="25" spans="8:28">
      <c r="Q25" s="378"/>
      <c r="R25" s="378"/>
      <c r="S25" s="378"/>
      <c r="T25" s="378"/>
      <c r="U25" s="378"/>
      <c r="V25" s="378"/>
      <c r="W25" s="378"/>
      <c r="X25" s="378"/>
    </row>
    <row r="26" spans="8:28">
      <c r="Q26" s="378"/>
      <c r="R26" s="378"/>
      <c r="S26" s="378"/>
      <c r="T26" s="378"/>
      <c r="U26" s="378"/>
      <c r="V26" s="378"/>
      <c r="W26" s="378"/>
      <c r="X26" s="378"/>
    </row>
    <row r="27" spans="8:28">
      <c r="Q27" s="378"/>
      <c r="R27" s="378"/>
      <c r="S27" s="378"/>
      <c r="T27" s="378"/>
      <c r="U27" s="378"/>
      <c r="V27" s="378"/>
      <c r="W27" s="378"/>
      <c r="X27" s="378"/>
    </row>
    <row r="28" spans="8:28">
      <c r="Q28" s="378"/>
      <c r="R28" s="378"/>
      <c r="S28" s="378"/>
      <c r="T28" s="378"/>
      <c r="U28" s="378"/>
      <c r="V28" s="378"/>
      <c r="W28" s="378"/>
      <c r="X28" s="378"/>
    </row>
    <row r="29" spans="8:28" ht="47.81">
      <c r="H29" s="158"/>
      <c r="I29" s="259" t="s">
        <v>371</v>
      </c>
      <c r="J29" s="259" t="s">
        <v>372</v>
      </c>
      <c r="Q29" s="378"/>
      <c r="R29" s="378"/>
      <c r="S29" s="378"/>
      <c r="T29" s="378"/>
      <c r="U29" s="378"/>
      <c r="V29" s="378"/>
      <c r="W29" s="378"/>
      <c r="X29" s="378"/>
    </row>
    <row r="30" spans="8:28">
      <c r="H30" s="158">
        <v>40544</v>
      </c>
      <c r="I30" s="212"/>
      <c r="J30" s="212"/>
    </row>
    <row r="31" spans="8:28">
      <c r="H31" s="158">
        <v>40558</v>
      </c>
      <c r="I31">
        <f>IF('Modèle principal'!BB6="","NA",'Modèle principal'!BB6/'Modèle principal'!BB5)-1</f>
        <v>-7.3399166893701517E-2</v>
      </c>
      <c r="J31" s="212">
        <f>('Modèle principal'!BR6/'Modèle principal'!BR5)-1</f>
        <v>0</v>
      </c>
    </row>
    <row r="32" spans="8:28" ht="98.44">
      <c r="H32" s="158">
        <v>40575</v>
      </c>
      <c r="I32">
        <f>IF('Modèle principal'!BB7="","NA",'Modèle principal'!BB7/'Modèle principal'!BB6)-1</f>
        <v>8.2678537267374175E-2</v>
      </c>
      <c r="J32" s="212">
        <f>('Modèle principal'!BR7/'Modèle principal'!BR6)-1</f>
        <v>0</v>
      </c>
      <c r="Y32" s="367" t="s">
        <v>17</v>
      </c>
      <c r="Z32" s="1" t="s">
        <v>18</v>
      </c>
      <c r="AA32" s="98" t="s">
        <v>373</v>
      </c>
      <c r="AB32" s="16" t="s">
        <v>374</v>
      </c>
    </row>
    <row r="33" spans="3:28" ht="16.44">
      <c r="C33" s="5" t="s">
        <v>375</v>
      </c>
      <c r="D33" s="142">
        <v>2.1000000000000001E-2</v>
      </c>
      <c r="H33" s="158">
        <v>40589</v>
      </c>
      <c r="I33">
        <f>IF('Modèle principal'!BB8="","NA",'Modèle principal'!BB8/'Modèle principal'!BB7)-1</f>
        <v>0.24022442086289875</v>
      </c>
      <c r="J33" s="212">
        <f>('Modèle principal'!BR8/'Modèle principal'!BR7)-1</f>
        <v>-0.125</v>
      </c>
      <c r="Y33" s="288">
        <v>40575</v>
      </c>
      <c r="Z33" s="48">
        <v>90.288975115643169</v>
      </c>
      <c r="AA33" s="99">
        <v>1.0391142026353548</v>
      </c>
      <c r="AB33" s="13">
        <v>1</v>
      </c>
    </row>
    <row r="34" spans="3:28" ht="16.44">
      <c r="D34" s="142">
        <v>10</v>
      </c>
      <c r="H34" s="158">
        <v>40603</v>
      </c>
      <c r="I34">
        <f>IF('Modèle principal'!BB9="","NA",'Modèle principal'!BB9/'Modèle principal'!BB8)-1</f>
        <v>0.27531034860799775</v>
      </c>
      <c r="J34" s="212">
        <f>('Modèle principal'!BR9/'Modèle principal'!BR8)-1</f>
        <v>0</v>
      </c>
      <c r="Y34" s="288">
        <v>40589</v>
      </c>
      <c r="Z34" s="48">
        <v>111.97859187310323</v>
      </c>
      <c r="AA34" s="99">
        <v>1.265678849540872</v>
      </c>
      <c r="AB34" s="13">
        <f>(Z34-Z33)/15</f>
        <v>1.4459744504973373</v>
      </c>
    </row>
    <row r="35" spans="3:28" ht="16.44">
      <c r="H35" s="158">
        <v>40617</v>
      </c>
      <c r="I35">
        <f>IF('Modèle principal'!BB10="","NA",'Modèle principal'!BB10/'Modèle principal'!BB9)-1</f>
        <v>0.32741472828231521</v>
      </c>
      <c r="J35" s="212">
        <f>('Modèle principal'!BR10/'Modèle principal'!BR9)-1</f>
        <v>-0.1428571428571429</v>
      </c>
      <c r="Y35" s="288">
        <v>40603</v>
      </c>
      <c r="Z35" s="48">
        <v>142.80745703831997</v>
      </c>
      <c r="AA35" s="99">
        <v>1.5126966028333653</v>
      </c>
      <c r="AB35" s="13">
        <f t="shared" ref="AB35:AB49" si="0">(Z35-Z34)/15</f>
        <v>2.0552576776811162</v>
      </c>
    </row>
    <row r="36" spans="3:28" ht="16.44">
      <c r="C36" s="374" t="s">
        <v>376</v>
      </c>
      <c r="D36" s="165" t="s">
        <v>377</v>
      </c>
      <c r="H36" s="158">
        <v>40634</v>
      </c>
      <c r="I36">
        <f>IF('Modèle principal'!BB11="","NA",'Modèle principal'!BB11/'Modèle principal'!BB10)-1</f>
        <v>0.42573398958208419</v>
      </c>
      <c r="J36" s="212">
        <f>('Modèle principal'!BR11/'Modèle principal'!BR10)-1</f>
        <v>0</v>
      </c>
      <c r="Y36" s="288">
        <v>40617</v>
      </c>
      <c r="Z36" s="48">
        <v>189.5647217812099</v>
      </c>
      <c r="AA36" s="99">
        <v>1.7375687726173525</v>
      </c>
      <c r="AB36" s="13">
        <f t="shared" si="0"/>
        <v>3.1171509828593287</v>
      </c>
    </row>
    <row r="37" spans="3:28" ht="16.44">
      <c r="C37">
        <v>0</v>
      </c>
      <c r="D37" s="361">
        <f>D34</f>
        <v>10</v>
      </c>
      <c r="H37" s="158">
        <v>40648</v>
      </c>
      <c r="I37">
        <f>IF('Modèle principal'!BB12="","NA",'Modèle principal'!BB12/'Modèle principal'!BB11)-1</f>
        <v>0.58269572589951157</v>
      </c>
      <c r="J37" s="212">
        <f>('Modèle principal'!BR12/'Modèle principal'!BR11)-1</f>
        <v>0.33333333333333326</v>
      </c>
      <c r="Y37" s="288">
        <v>40634</v>
      </c>
      <c r="Z37" s="48">
        <v>270.26886706914229</v>
      </c>
      <c r="AA37" s="99">
        <v>1.9069242767556531</v>
      </c>
      <c r="AB37" s="13">
        <f t="shared" si="0"/>
        <v>5.380276352528826</v>
      </c>
    </row>
    <row r="38" spans="3:28" ht="16.44">
      <c r="C38">
        <v>1</v>
      </c>
      <c r="D38" s="166">
        <f t="shared" ref="D38:D44" si="1">D37*EXP(D$33)</f>
        <v>10.212220516375286</v>
      </c>
      <c r="H38" s="158">
        <v>40664</v>
      </c>
      <c r="I38">
        <f>IF('Modèle principal'!BB13="","NA",'Modèle principal'!BB13/'Modèle principal'!BB12)-1</f>
        <v>0.59300241825215649</v>
      </c>
      <c r="J38" s="212">
        <f>('Modèle principal'!BR13/'Modèle principal'!BR12)-1</f>
        <v>0.375</v>
      </c>
      <c r="Y38" s="288">
        <v>40648</v>
      </c>
      <c r="Z38" s="48">
        <v>427.75338075403482</v>
      </c>
      <c r="AA38" s="99">
        <v>1.8143786000507283</v>
      </c>
      <c r="AB38" s="13">
        <f t="shared" si="0"/>
        <v>10.498967578992836</v>
      </c>
    </row>
    <row r="39" spans="3:28" ht="16.44">
      <c r="C39">
        <v>2</v>
      </c>
      <c r="D39" s="166">
        <f t="shared" si="1"/>
        <v>10.42894478750763</v>
      </c>
      <c r="H39" s="158">
        <v>40678</v>
      </c>
      <c r="I39">
        <f>IF('Modèle principal'!BB14="","NA",'Modèle principal'!BB14/'Modèle principal'!BB13)-1</f>
        <v>0.57714240007914941</v>
      </c>
      <c r="J39" s="212">
        <f>('Modèle principal'!BR14/'Modèle principal'!BR13)-1</f>
        <v>0.36363636363636354</v>
      </c>
      <c r="Y39" s="288">
        <v>40664</v>
      </c>
      <c r="Z39" s="48">
        <v>681.41216995671289</v>
      </c>
      <c r="AA39" s="99">
        <v>2.4281660054040897</v>
      </c>
      <c r="AB39" s="13">
        <f t="shared" si="0"/>
        <v>16.910585946845206</v>
      </c>
    </row>
    <row r="40" spans="3:28" ht="16.44">
      <c r="C40">
        <v>3</v>
      </c>
      <c r="D40" s="166">
        <f t="shared" si="1"/>
        <v>10.650268392313052</v>
      </c>
      <c r="H40" s="158">
        <v>40695</v>
      </c>
      <c r="I40">
        <f>IF('Modèle principal'!BB15="","NA",'Modèle principal'!BB15/'Modèle principal'!BB14)-1</f>
        <v>0.52848150336673139</v>
      </c>
      <c r="J40" s="212">
        <f>('Modèle principal'!BR15/'Modèle principal'!BR14)-1</f>
        <v>0.26666666666666661</v>
      </c>
      <c r="Y40" s="288">
        <v>40678</v>
      </c>
      <c r="Z40" s="48">
        <v>1074.6840251686715</v>
      </c>
      <c r="AA40" s="99">
        <v>3.3777516927418083</v>
      </c>
      <c r="AB40" s="13">
        <f t="shared" si="0"/>
        <v>26.218123680797241</v>
      </c>
    </row>
    <row r="41" spans="3:28" ht="16.44">
      <c r="C41">
        <v>4</v>
      </c>
      <c r="D41" s="166">
        <f t="shared" si="1"/>
        <v>10.876288938088258</v>
      </c>
      <c r="H41" s="158">
        <v>40709</v>
      </c>
      <c r="I41">
        <f>IF('Modèle principal'!BB16="","NA",'Modèle principal'!BB16/'Modèle principal'!BB15)-1</f>
        <v>0.48413856939020383</v>
      </c>
      <c r="J41" s="212">
        <f>('Modèle principal'!BR16/'Modèle principal'!BR15)-1</f>
        <v>0.15789473684210531</v>
      </c>
      <c r="Y41" s="288">
        <v>40695</v>
      </c>
      <c r="Z41" s="48">
        <v>1642.6346544340213</v>
      </c>
      <c r="AA41" s="99">
        <v>4.5074796273531268</v>
      </c>
      <c r="AB41" s="13">
        <f t="shared" si="0"/>
        <v>37.86337528435665</v>
      </c>
    </row>
    <row r="42" spans="3:28" ht="16.44">
      <c r="C42">
        <v>5</v>
      </c>
      <c r="D42" s="166">
        <f t="shared" si="1"/>
        <v>11.107106103557047</v>
      </c>
      <c r="H42" s="158">
        <v>40725</v>
      </c>
      <c r="I42">
        <f>IF('Modèle principal'!BB17="","NA",'Modèle principal'!BB17/'Modèle principal'!BB16)-1</f>
        <v>0.42579921627760076</v>
      </c>
      <c r="J42" s="212">
        <f>('Modèle principal'!BR17/'Modèle principal'!BR16)-1</f>
        <v>9.0909090909090828E-2</v>
      </c>
      <c r="Y42" s="288">
        <v>40709</v>
      </c>
      <c r="Z42" s="48">
        <v>2439.89744606248</v>
      </c>
      <c r="AA42" s="99">
        <v>6.4594483716398727</v>
      </c>
      <c r="AB42" s="13">
        <f t="shared" si="0"/>
        <v>53.150852775230575</v>
      </c>
    </row>
    <row r="43" spans="3:28" ht="16.44">
      <c r="C43">
        <v>6</v>
      </c>
      <c r="D43" s="166">
        <f t="shared" si="1"/>
        <v>11.342821682830243</v>
      </c>
      <c r="H43" s="158">
        <v>40739</v>
      </c>
      <c r="I43">
        <f>IF('Modèle principal'!BB18="","NA",'Modèle principal'!BB18/'Modèle principal'!BB17)-1</f>
        <v>0.39256351892076902</v>
      </c>
      <c r="J43" s="212">
        <f>('Modèle principal'!BR18/'Modèle principal'!BR17)-1</f>
        <v>4.1666666666666741E-2</v>
      </c>
      <c r="Y43" s="288">
        <v>40725</v>
      </c>
      <c r="Z43" s="48">
        <v>3481.8038663936036</v>
      </c>
      <c r="AA43" s="99">
        <v>9.0547749358724854</v>
      </c>
      <c r="AB43" s="13">
        <f t="shared" si="0"/>
        <v>69.460428022074908</v>
      </c>
    </row>
    <row r="44" spans="3:28" ht="16.44">
      <c r="C44">
        <v>7</v>
      </c>
      <c r="D44" s="166">
        <f t="shared" si="1"/>
        <v>11.583539630298544</v>
      </c>
      <c r="H44" s="158">
        <v>40756</v>
      </c>
      <c r="I44">
        <f>IF('Modèle principal'!BB19="","NA",'Modèle principal'!BB19/'Modèle principal'!BB18)-1</f>
        <v>0.34442076467272242</v>
      </c>
      <c r="J44" s="212">
        <f>('Modèle principal'!BR19/'Modèle principal'!BR18)-1</f>
        <v>0</v>
      </c>
      <c r="Y44" s="288">
        <v>40739</v>
      </c>
      <c r="Z44" s="48">
        <v>4853.6330443770166</v>
      </c>
      <c r="AA44" s="99">
        <v>13.098598646036619</v>
      </c>
      <c r="AB44" s="13">
        <f t="shared" si="0"/>
        <v>91.455278532227538</v>
      </c>
    </row>
    <row r="45" spans="3:28" ht="16.44">
      <c r="C45">
        <v>8</v>
      </c>
      <c r="D45" s="166">
        <f t="shared" ref="D45:D70" si="2">D44*EXP(D$33)</f>
        <v>11.829366106478098</v>
      </c>
      <c r="H45" s="158">
        <v>40770</v>
      </c>
      <c r="I45">
        <f>IF('Modèle principal'!BB20="","NA",'Modèle principal'!BB20/'Modèle principal'!BB19)-1</f>
        <v>0.32637373539532266</v>
      </c>
      <c r="J45" s="212">
        <f>('Modèle principal'!BR20/'Modèle principal'!BR19)-1</f>
        <v>-0.12</v>
      </c>
      <c r="Y45" s="288">
        <v>40756</v>
      </c>
      <c r="Z45" s="48">
        <v>6535.3912449582685</v>
      </c>
      <c r="AA45" s="99">
        <v>18.213359493075583</v>
      </c>
      <c r="AB45" s="13">
        <f t="shared" si="0"/>
        <v>112.11721337208346</v>
      </c>
    </row>
    <row r="46" spans="3:28" ht="16.44">
      <c r="C46">
        <v>9</v>
      </c>
      <c r="D46" s="166">
        <f t="shared" si="2"/>
        <v>12.080409524829006</v>
      </c>
      <c r="H46" s="158">
        <v>40787</v>
      </c>
      <c r="I46">
        <f>IF('Modèle principal'!BB21="","NA",'Modèle principal'!BB21/'Modèle principal'!BB20)-1</f>
        <v>-0.7434891551595173</v>
      </c>
      <c r="J46" s="212">
        <f>('Modèle principal'!BR21/'Modèle principal'!BR20)-1</f>
        <v>-0.13636363636363635</v>
      </c>
      <c r="Y46" s="288">
        <v>40770</v>
      </c>
      <c r="Z46" s="48">
        <v>8683.620051398635</v>
      </c>
      <c r="AA46" s="99">
        <v>27.419105462030299</v>
      </c>
      <c r="AB46" s="13">
        <f t="shared" si="0"/>
        <v>143.21525376269111</v>
      </c>
    </row>
    <row r="47" spans="3:28" ht="16.44">
      <c r="C47">
        <v>10</v>
      </c>
      <c r="D47" s="166">
        <f t="shared" si="2"/>
        <v>12.336780599567419</v>
      </c>
      <c r="H47" s="158">
        <v>40801</v>
      </c>
      <c r="I47">
        <f>IF('Modèle principal'!BB22="","NA",'Modèle principal'!BB22/'Modèle principal'!BB21)-1</f>
        <v>0.24077694771912084</v>
      </c>
      <c r="J47" s="212">
        <f>('Modèle principal'!BR22/'Modèle principal'!BR21)-1</f>
        <v>-0.15789473684210531</v>
      </c>
      <c r="Y47" s="288">
        <v>40787</v>
      </c>
      <c r="Z47" s="48">
        <v>11167.910389789824</v>
      </c>
      <c r="AA47" s="99">
        <v>40.673312024401362</v>
      </c>
      <c r="AB47" s="13">
        <f t="shared" si="0"/>
        <v>165.61935589274592</v>
      </c>
    </row>
    <row r="48" spans="3:28" ht="16.44">
      <c r="C48">
        <v>11</v>
      </c>
      <c r="D48" s="166">
        <f t="shared" si="2"/>
        <v>12.598592394492298</v>
      </c>
      <c r="H48" s="158">
        <v>40817</v>
      </c>
      <c r="I48">
        <f>IF('Modèle principal'!BB23="","NA",'Modèle principal'!BB23/'Modèle principal'!BB22)-1</f>
        <v>0.2806367147507145</v>
      </c>
      <c r="J48" s="212">
        <f>('Modèle principal'!BR23/'Modèle principal'!BR22)-1</f>
        <v>-6.25E-2</v>
      </c>
      <c r="Y48" s="288">
        <v>40801</v>
      </c>
      <c r="Z48" s="48">
        <v>13898.473711708284</v>
      </c>
      <c r="AA48" s="99">
        <v>54.216530959572552</v>
      </c>
      <c r="AB48" s="13">
        <f t="shared" si="0"/>
        <v>182.03755479456402</v>
      </c>
    </row>
    <row r="49" spans="3:33" ht="16.44">
      <c r="C49">
        <v>12</v>
      </c>
      <c r="D49" s="166">
        <f t="shared" si="2"/>
        <v>12.865960372848388</v>
      </c>
      <c r="H49" s="158">
        <v>40831</v>
      </c>
      <c r="I49">
        <f>IF('Modèle principal'!BB24="","NA",'Modèle principal'!BB24/'Modèle principal'!BB23)-1</f>
        <v>0.16069798056645235</v>
      </c>
      <c r="J49" s="212">
        <f>('Modèle principal'!BR24/'Modèle principal'!BR23)-1</f>
        <v>-0.19999999999999996</v>
      </c>
      <c r="Y49" s="288">
        <v>40817</v>
      </c>
      <c r="Z49" s="48">
        <v>16697.408607778361</v>
      </c>
      <c r="AA49" s="99">
        <v>83.928962746407251</v>
      </c>
      <c r="AB49" s="13">
        <f t="shared" si="0"/>
        <v>186.59565973800514</v>
      </c>
    </row>
    <row r="50" spans="3:33" ht="16.44">
      <c r="C50">
        <v>13</v>
      </c>
      <c r="D50" s="166">
        <f t="shared" si="2"/>
        <v>13.139002448247373</v>
      </c>
      <c r="H50" s="158">
        <v>40848</v>
      </c>
      <c r="I50">
        <f>IF('Modèle principal'!BB25="","NA",'Modèle principal'!BB25/'Modèle principal'!BB24)-1</f>
        <v>-0.25087983765329003</v>
      </c>
      <c r="J50" s="212">
        <f>('Modèle principal'!BR25/'Modèle principal'!BR24)-1</f>
        <v>-0.25</v>
      </c>
    </row>
    <row r="51" spans="3:33" ht="16.44">
      <c r="C51">
        <v>14</v>
      </c>
      <c r="D51" s="166">
        <f t="shared" si="2"/>
        <v>13.417839036669692</v>
      </c>
      <c r="H51" s="158">
        <v>40862</v>
      </c>
      <c r="I51">
        <f>IF('Modèle principal'!BB26="","NA",'Modèle principal'!BB26/'Modèle principal'!BB25)-1</f>
        <v>-0.22700694680951983</v>
      </c>
      <c r="J51" s="212">
        <f>('Modèle principal'!BR26/'Modèle principal'!BR25)-1</f>
        <v>-5.555555555555558E-2</v>
      </c>
    </row>
    <row r="52" spans="3:33" ht="16.44">
      <c r="C52">
        <v>15</v>
      </c>
      <c r="D52" s="166">
        <f t="shared" si="2"/>
        <v>13.702593109569943</v>
      </c>
      <c r="H52" s="158">
        <v>40878</v>
      </c>
      <c r="I52">
        <f>IF('Modèle principal'!BB27="","NA",'Modèle principal'!BB27/'Modèle principal'!BB26)-1</f>
        <v>-0.1138473035945976</v>
      </c>
      <c r="J52" s="212">
        <f>('Modèle principal'!BR27/'Modèle principal'!BR26)-1</f>
        <v>-2.9411764705882359E-2</v>
      </c>
    </row>
    <row r="53" spans="3:33" ht="16.44">
      <c r="C53">
        <v>16</v>
      </c>
      <c r="D53" s="166">
        <f t="shared" si="2"/>
        <v>13.993390248109279</v>
      </c>
      <c r="H53" s="158">
        <v>40892</v>
      </c>
      <c r="I53" t="e">
        <f>IF('Modèle principal'!BB28="","NA",'Modèle principal'!BB28/'Modèle principal'!BB27)-1</f>
        <v>#VALUE!</v>
      </c>
      <c r="J53" s="212">
        <f>('Modèle principal'!BR28/'Modèle principal'!BR27)-1</f>
        <v>-3.0303030303030276E-2</v>
      </c>
    </row>
    <row r="54" spans="3:33" ht="16.44">
      <c r="C54">
        <v>17</v>
      </c>
      <c r="D54" s="166">
        <f t="shared" si="2"/>
        <v>14.290358698538743</v>
      </c>
      <c r="H54" s="158">
        <v>40908</v>
      </c>
      <c r="I54" t="e">
        <f>IF('Modèle principal'!BB29="","NA",'Modèle principal'!BB29/'Modèle principal'!BB28)-1</f>
        <v>#VALUE!</v>
      </c>
      <c r="J54" s="212">
        <f>('Modèle principal'!BR29/'Modèle principal'!BR28)-1</f>
        <v>0</v>
      </c>
    </row>
    <row r="55" spans="3:33" ht="16.44">
      <c r="C55">
        <v>18</v>
      </c>
      <c r="D55" s="166">
        <f t="shared" si="2"/>
        <v>14.593629428757938</v>
      </c>
    </row>
    <row r="56" spans="3:33" ht="16.44">
      <c r="C56">
        <v>19</v>
      </c>
      <c r="D56" s="166">
        <f t="shared" si="2"/>
        <v>14.903336186073995</v>
      </c>
      <c r="AG56" s="13"/>
    </row>
    <row r="57" spans="3:33" ht="16.44">
      <c r="C57">
        <v>20</v>
      </c>
      <c r="D57" s="166">
        <f t="shared" si="2"/>
        <v>15.219615556186305</v>
      </c>
    </row>
    <row r="58" spans="3:33" ht="16.44">
      <c r="C58">
        <v>21</v>
      </c>
      <c r="D58" s="166">
        <f t="shared" si="2"/>
        <v>15.542607023423024</v>
      </c>
    </row>
    <row r="59" spans="3:33" ht="16.44">
      <c r="C59">
        <v>22</v>
      </c>
      <c r="D59" s="166">
        <f t="shared" si="2"/>
        <v>15.872453032255921</v>
      </c>
    </row>
    <row r="60" spans="3:33" ht="16.44">
      <c r="C60">
        <v>23</v>
      </c>
      <c r="D60" s="166">
        <f t="shared" si="2"/>
        <v>16.209299050120702</v>
      </c>
    </row>
    <row r="61" spans="3:33" ht="16.44">
      <c r="C61">
        <v>24</v>
      </c>
      <c r="D61" s="166">
        <f t="shared" si="2"/>
        <v>16.553293631570504</v>
      </c>
    </row>
    <row r="62" spans="3:33" ht="16.44">
      <c r="C62">
        <v>25</v>
      </c>
      <c r="D62" s="166">
        <f t="shared" si="2"/>
        <v>16.904588483790867</v>
      </c>
    </row>
    <row r="63" spans="3:33" ht="16.44">
      <c r="C63">
        <v>26</v>
      </c>
      <c r="D63" s="166">
        <f t="shared" si="2"/>
        <v>17.263338533505049</v>
      </c>
    </row>
    <row r="64" spans="3:33" ht="16.44">
      <c r="C64">
        <v>27</v>
      </c>
      <c r="D64" s="166">
        <f t="shared" si="2"/>
        <v>17.629701995299229</v>
      </c>
    </row>
    <row r="65" spans="3:4" ht="16.44">
      <c r="C65">
        <v>28</v>
      </c>
      <c r="D65" s="166">
        <f t="shared" si="2"/>
        <v>18.00384044139771</v>
      </c>
    </row>
    <row r="66" spans="3:4" ht="16.44">
      <c r="C66">
        <v>29</v>
      </c>
      <c r="D66" s="166">
        <f t="shared" si="2"/>
        <v>18.385918872918875</v>
      </c>
    </row>
    <row r="67" spans="3:4" ht="16.44">
      <c r="C67">
        <v>30</v>
      </c>
      <c r="D67" s="166">
        <f t="shared" si="2"/>
        <v>18.776105792643371</v>
      </c>
    </row>
    <row r="68" spans="3:4" ht="16.44">
      <c r="C68">
        <v>31</v>
      </c>
      <c r="D68" s="166">
        <f t="shared" si="2"/>
        <v>19.174573279326548</v>
      </c>
    </row>
    <row r="69" spans="3:4" ht="16.44">
      <c r="C69">
        <v>32</v>
      </c>
      <c r="D69" s="166">
        <f t="shared" si="2"/>
        <v>19.581497063587992</v>
      </c>
    </row>
    <row r="70" spans="3:4" ht="16.44">
      <c r="C70">
        <v>33</v>
      </c>
      <c r="D70" s="166">
        <f t="shared" si="2"/>
        <v>19.997056605411572</v>
      </c>
    </row>
    <row r="71" spans="3:4" ht="16.44">
      <c r="C71">
        <v>34</v>
      </c>
      <c r="D71" s="166">
        <f t="shared" ref="D71:D124" si="3">D70*EXP(D$33)</f>
        <v>20.421435173290199</v>
      </c>
    </row>
    <row r="72" spans="3:4" ht="16.44">
      <c r="C72">
        <v>35</v>
      </c>
      <c r="D72" s="166">
        <f t="shared" si="3"/>
        <v>20.854819925050204</v>
      </c>
    </row>
    <row r="73" spans="3:4" ht="16.44">
      <c r="C73">
        <v>36</v>
      </c>
      <c r="D73" s="166">
        <f t="shared" si="3"/>
        <v>21.297401990390981</v>
      </c>
    </row>
    <row r="74" spans="3:4" ht="16.44">
      <c r="C74">
        <v>37</v>
      </c>
      <c r="D74" s="166">
        <f t="shared" si="3"/>
        <v>21.749376555176262</v>
      </c>
    </row>
    <row r="75" spans="3:4" ht="16.44">
      <c r="C75">
        <v>38</v>
      </c>
      <c r="D75" s="166">
        <f t="shared" si="3"/>
        <v>22.210942947514265</v>
      </c>
    </row>
    <row r="76" spans="3:4" ht="16.44">
      <c r="C76">
        <v>39</v>
      </c>
      <c r="D76" s="166">
        <f t="shared" si="3"/>
        <v>22.682304725664615</v>
      </c>
    </row>
    <row r="77" spans="3:4" ht="16.44">
      <c r="C77">
        <v>40</v>
      </c>
      <c r="D77" s="166">
        <f t="shared" si="3"/>
        <v>23.163669767810827</v>
      </c>
    </row>
    <row r="78" spans="3:4" ht="16.44">
      <c r="C78">
        <v>41</v>
      </c>
      <c r="D78" s="166">
        <f t="shared" si="3"/>
        <v>23.655250363737967</v>
      </c>
    </row>
    <row r="79" spans="3:4" ht="16.44">
      <c r="C79">
        <v>42</v>
      </c>
      <c r="D79" s="166">
        <f t="shared" si="3"/>
        <v>24.157263308455878</v>
      </c>
    </row>
    <row r="80" spans="3:4" ht="16.44">
      <c r="C80">
        <v>43</v>
      </c>
      <c r="D80" s="166">
        <f t="shared" si="3"/>
        <v>24.669929997809302</v>
      </c>
    </row>
    <row r="81" spans="3:4" ht="16.44">
      <c r="C81">
        <v>44</v>
      </c>
      <c r="D81" s="166">
        <f t="shared" si="3"/>
        <v>25.193476526117024</v>
      </c>
    </row>
    <row r="82" spans="3:4" ht="16.44">
      <c r="C82">
        <v>45</v>
      </c>
      <c r="D82" s="166">
        <f t="shared" si="3"/>
        <v>25.728133785883141</v>
      </c>
    </row>
    <row r="83" spans="3:4" ht="16.44">
      <c r="C83">
        <v>46</v>
      </c>
      <c r="D83" s="166">
        <f t="shared" si="3"/>
        <v>26.274137569624397</v>
      </c>
    </row>
    <row r="84" spans="3:4" ht="16.44">
      <c r="C84">
        <v>47</v>
      </c>
      <c r="D84" s="166">
        <f t="shared" si="3"/>
        <v>26.831728673858496</v>
      </c>
    </row>
    <row r="85" spans="3:4" ht="16.44">
      <c r="C85">
        <v>48</v>
      </c>
      <c r="D85" s="166">
        <f t="shared" si="3"/>
        <v>27.401153005299278</v>
      </c>
    </row>
    <row r="86" spans="3:4" ht="16.44">
      <c r="C86">
        <v>49</v>
      </c>
      <c r="D86" s="166">
        <f t="shared" si="3"/>
        <v>27.982661689305559</v>
      </c>
    </row>
    <row r="87" spans="3:4" ht="16.44">
      <c r="C87">
        <v>50</v>
      </c>
      <c r="D87" s="166">
        <f t="shared" si="3"/>
        <v>28.576511180631492</v>
      </c>
    </row>
    <row r="88" spans="3:4" ht="16.44">
      <c r="C88">
        <v>51</v>
      </c>
      <c r="D88" s="166">
        <f t="shared" si="3"/>
        <v>29.182963376527265</v>
      </c>
    </row>
    <row r="89" spans="3:4" ht="16.44">
      <c r="C89">
        <v>52</v>
      </c>
      <c r="D89" s="166">
        <f t="shared" si="3"/>
        <v>29.80228573224003</v>
      </c>
    </row>
    <row r="90" spans="3:4" ht="16.44">
      <c r="C90">
        <v>53</v>
      </c>
      <c r="D90" s="166">
        <f t="shared" si="3"/>
        <v>30.434751378966009</v>
      </c>
    </row>
    <row r="91" spans="3:4" ht="16.44">
      <c r="C91">
        <v>54</v>
      </c>
      <c r="D91" s="166">
        <f t="shared" si="3"/>
        <v>31.080639244305768</v>
      </c>
    </row>
    <row r="92" spans="3:4" ht="16.44">
      <c r="C92">
        <v>55</v>
      </c>
      <c r="D92" s="166">
        <f t="shared" si="3"/>
        <v>31.740234175275823</v>
      </c>
    </row>
    <row r="93" spans="3:4" ht="16.44">
      <c r="C93">
        <v>56</v>
      </c>
      <c r="D93" s="166">
        <f t="shared" si="3"/>
        <v>32.413827063930775</v>
      </c>
    </row>
    <row r="94" spans="3:4" ht="16.44">
      <c r="C94">
        <v>57</v>
      </c>
      <c r="D94" s="166">
        <f t="shared" si="3"/>
        <v>33.101714975651433</v>
      </c>
    </row>
    <row r="95" spans="3:4" ht="16.44">
      <c r="C95">
        <v>58</v>
      </c>
      <c r="D95" s="166">
        <f t="shared" si="3"/>
        <v>33.804201280155461</v>
      </c>
    </row>
    <row r="96" spans="3:4" ht="16.44">
      <c r="C96">
        <v>59</v>
      </c>
      <c r="D96" s="166">
        <f t="shared" si="3"/>
        <v>34.521595785288326</v>
      </c>
    </row>
    <row r="97" spans="3:4" ht="16.44">
      <c r="C97">
        <v>60</v>
      </c>
      <c r="D97" s="166">
        <f t="shared" si="3"/>
        <v>35.254214873653602</v>
      </c>
    </row>
    <row r="98" spans="3:4" ht="16.44">
      <c r="C98">
        <v>61</v>
      </c>
      <c r="D98" s="166">
        <f t="shared" si="3"/>
        <v>36.002381642142808</v>
      </c>
    </row>
    <row r="99" spans="3:4" ht="16.44">
      <c r="C99">
        <v>62</v>
      </c>
      <c r="D99" s="166">
        <f t="shared" si="3"/>
        <v>36.766426044426375</v>
      </c>
    </row>
    <row r="100" spans="3:4" ht="16.44">
      <c r="C100">
        <v>63</v>
      </c>
      <c r="D100" s="166">
        <f t="shared" si="3"/>
        <v>37.546685036468567</v>
      </c>
    </row>
    <row r="101" spans="3:4" ht="16.44">
      <c r="C101">
        <v>64</v>
      </c>
      <c r="D101" s="166">
        <f t="shared" si="3"/>
        <v>38.34350272513052</v>
      </c>
    </row>
    <row r="102" spans="3:4" ht="16.44">
      <c r="C102">
        <v>65</v>
      </c>
      <c r="D102" s="166">
        <f t="shared" si="3"/>
        <v>39.157230519926955</v>
      </c>
    </row>
    <row r="103" spans="3:4" ht="16.44">
      <c r="C103">
        <v>66</v>
      </c>
      <c r="D103" s="166">
        <f t="shared" si="3"/>
        <v>39.988227288003451</v>
      </c>
    </row>
    <row r="104" spans="3:4" ht="16.44">
      <c r="C104">
        <v>67</v>
      </c>
      <c r="D104" s="166">
        <f t="shared" si="3"/>
        <v>40.83685951240269</v>
      </c>
    </row>
    <row r="105" spans="3:4" ht="16.44">
      <c r="C105">
        <v>68</v>
      </c>
      <c r="D105" s="166">
        <f t="shared" si="3"/>
        <v>41.703501453689398</v>
      </c>
    </row>
    <row r="106" spans="3:4" ht="16.44">
      <c r="C106">
        <v>69</v>
      </c>
      <c r="D106" s="166">
        <f t="shared" si="3"/>
        <v>42.588535315005345</v>
      </c>
    </row>
    <row r="107" spans="3:4" ht="16.44">
      <c r="C107">
        <v>70</v>
      </c>
      <c r="D107" s="166">
        <f t="shared" si="3"/>
        <v>43.492351410627094</v>
      </c>
    </row>
    <row r="108" spans="3:4" ht="16.44">
      <c r="C108">
        <v>71</v>
      </c>
      <c r="D108" s="166">
        <f t="shared" si="3"/>
        <v>44.415348338100962</v>
      </c>
    </row>
    <row r="109" spans="3:4" ht="16.44">
      <c r="C109">
        <v>72</v>
      </c>
      <c r="D109" s="166">
        <f t="shared" si="3"/>
        <v>45.35793315403096</v>
      </c>
    </row>
    <row r="110" spans="3:4" ht="16.44">
      <c r="C110">
        <v>73</v>
      </c>
      <c r="D110" s="166">
        <f t="shared" si="3"/>
        <v>46.320521553597374</v>
      </c>
    </row>
    <row r="111" spans="3:4" ht="16.44">
      <c r="C111">
        <v>74</v>
      </c>
      <c r="D111" s="166">
        <f t="shared" si="3"/>
        <v>47.30353805388507</v>
      </c>
    </row>
    <row r="112" spans="3:4" ht="16.44">
      <c r="C112">
        <v>75</v>
      </c>
      <c r="D112" s="166">
        <f t="shared" si="3"/>
        <v>48.307416181102418</v>
      </c>
    </row>
    <row r="113" spans="3:4" ht="16.44">
      <c r="C113">
        <v>76</v>
      </c>
      <c r="D113" s="166">
        <f t="shared" si="3"/>
        <v>49.332598661773353</v>
      </c>
    </row>
    <row r="114" spans="3:4" ht="16.44">
      <c r="C114">
        <v>77</v>
      </c>
      <c r="D114" s="166">
        <f t="shared" si="3"/>
        <v>50.379537617986976</v>
      </c>
    </row>
    <row r="115" spans="3:4" ht="16.44">
      <c r="C115">
        <v>78</v>
      </c>
      <c r="D115" s="166">
        <f t="shared" si="3"/>
        <v>51.448694766790709</v>
      </c>
    </row>
    <row r="116" spans="3:4" ht="16.44">
      <c r="C116">
        <v>79</v>
      </c>
      <c r="D116" s="166">
        <f t="shared" si="3"/>
        <v>52.540541623814988</v>
      </c>
    </row>
    <row r="117" spans="3:4" ht="16.44">
      <c r="C117">
        <v>80</v>
      </c>
      <c r="D117" s="166">
        <f t="shared" si="3"/>
        <v>53.655559711219311</v>
      </c>
    </row>
    <row r="118" spans="3:4" ht="16.44">
      <c r="C118">
        <v>81</v>
      </c>
      <c r="D118" s="166">
        <f t="shared" si="3"/>
        <v>54.794240770051303</v>
      </c>
    </row>
    <row r="119" spans="3:4" ht="16.44">
      <c r="C119">
        <v>82</v>
      </c>
      <c r="D119" s="166">
        <f t="shared" si="3"/>
        <v>55.957086977112503</v>
      </c>
    </row>
    <row r="120" spans="3:4" ht="16.44">
      <c r="C120">
        <v>83</v>
      </c>
      <c r="D120" s="166">
        <f t="shared" si="3"/>
        <v>57.144611166426458</v>
      </c>
    </row>
    <row r="121" spans="3:4" ht="16.44">
      <c r="C121">
        <v>84</v>
      </c>
      <c r="D121" s="166">
        <f t="shared" si="3"/>
        <v>58.357337055406852</v>
      </c>
    </row>
    <row r="122" spans="3:4" ht="16.44">
      <c r="C122">
        <v>85</v>
      </c>
      <c r="D122" s="166">
        <f t="shared" si="3"/>
        <v>59.595799475825352</v>
      </c>
    </row>
    <row r="123" spans="3:4" ht="16.44">
      <c r="C123">
        <v>86</v>
      </c>
      <c r="D123" s="166">
        <f t="shared" si="3"/>
        <v>60.860544609681114</v>
      </c>
    </row>
    <row r="124" spans="3:4" ht="16.44">
      <c r="C124">
        <v>87</v>
      </c>
      <c r="D124" s="166">
        <f t="shared" si="3"/>
        <v>62.152130230075876</v>
      </c>
    </row>
  </sheetData>
  <customSheetViews>
    <customSheetView guid="{40D14490-07BB-46F3-8435-9C462BE853EE}" scale="85">
      <selection activeCell="R32" sqref="R32"/>
      <pageMargins left="0" right="0" top="0" bottom="0" header="0" footer="0"/>
    </customSheetView>
    <customSheetView guid="{C5ECCA7E-81F6-46F5-BEA0-A5F2DAD22AC9}" scale="85">
      <selection activeCell="R32" sqref="R32"/>
      <pageMargins left="0" right="0" top="0" bottom="0" header="0" footer="0"/>
    </customSheetView>
  </customSheetViews>
  <mergeCells count="1">
    <mergeCell ref="Q23:X2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49A48"/>
  </sheetPr>
  <dimension ref="A1:R54"/>
  <sheetViews>
    <sheetView zoomScale="90" zoomScaleNormal="85" workbookViewId="0" showGridLines="0" topLeftCell="A1">
      <selection activeCell="M38" sqref="M38"/>
    </sheetView>
  </sheetViews>
  <sheetFormatPr defaultColWidth="10.449" defaultRowHeight="16"/>
  <sheetData>
    <row r="1" spans="1:2">
      <c r="A1" s="212"/>
      <c r="B1" t="s">
        <v>369</v>
      </c>
    </row>
    <row r="23" spans="2:18" ht="16" customHeight="1">
      <c r="K23" s="378" t="s">
        <v>370</v>
      </c>
      <c r="L23" s="378"/>
      <c r="M23" s="378"/>
      <c r="N23" s="378"/>
      <c r="O23" s="378"/>
      <c r="P23" s="378"/>
      <c r="Q23" s="378"/>
      <c r="R23" s="378"/>
    </row>
    <row r="24" spans="2:18">
      <c r="K24" s="378"/>
      <c r="L24" s="378"/>
      <c r="M24" s="378"/>
      <c r="N24" s="378"/>
      <c r="O24" s="378"/>
      <c r="P24" s="378"/>
      <c r="Q24" s="378"/>
      <c r="R24" s="378"/>
    </row>
    <row r="25" spans="2:18">
      <c r="K25" s="378"/>
      <c r="L25" s="378"/>
      <c r="M25" s="378"/>
      <c r="N25" s="378"/>
      <c r="O25" s="378"/>
      <c r="P25" s="378"/>
      <c r="Q25" s="378"/>
      <c r="R25" s="378"/>
    </row>
    <row r="26" spans="2:18">
      <c r="K26" s="378"/>
      <c r="L26" s="378"/>
      <c r="M26" s="378"/>
      <c r="N26" s="378"/>
      <c r="O26" s="378"/>
      <c r="P26" s="378"/>
      <c r="Q26" s="378"/>
      <c r="R26" s="378"/>
    </row>
    <row r="27" spans="2:18">
      <c r="K27" s="378"/>
      <c r="L27" s="378"/>
      <c r="M27" s="378"/>
      <c r="N27" s="378"/>
      <c r="O27" s="378"/>
      <c r="P27" s="378"/>
      <c r="Q27" s="378"/>
      <c r="R27" s="378"/>
    </row>
    <row r="28" spans="2:18">
      <c r="K28" s="378"/>
      <c r="L28" s="378"/>
      <c r="M28" s="378"/>
      <c r="N28" s="378"/>
      <c r="O28" s="378"/>
      <c r="P28" s="378"/>
      <c r="Q28" s="378"/>
      <c r="R28" s="378"/>
    </row>
    <row r="29" spans="2:18" ht="79.69">
      <c r="B29" s="158"/>
      <c r="C29" s="259" t="s">
        <v>378</v>
      </c>
      <c r="D29" s="259" t="s">
        <v>379</v>
      </c>
      <c r="E29" s="16" t="s">
        <v>116</v>
      </c>
      <c r="F29" s="16" t="s">
        <v>380</v>
      </c>
      <c r="G29" s="16" t="s">
        <v>76</v>
      </c>
      <c r="H29" s="16" t="s">
        <v>381</v>
      </c>
      <c r="K29" s="378"/>
      <c r="L29" s="378"/>
      <c r="M29" s="378"/>
      <c r="N29" s="378"/>
      <c r="O29" s="378"/>
      <c r="P29" s="378"/>
      <c r="Q29" s="378"/>
      <c r="R29" s="378"/>
    </row>
    <row r="30" spans="2:18">
      <c r="B30" s="158">
        <v>40544</v>
      </c>
      <c r="C30" s="212">
        <f>'Modèle principal'!DD5</f>
        <v>-5.0125418235442863E-3</v>
      </c>
      <c r="E30" s="14">
        <f>'Modèle principal'!DF5</f>
        <v>100</v>
      </c>
      <c r="H30" s="13">
        <f t="shared" ref="H30:H54" si="0">F30+G30</f>
        <v>0</v>
      </c>
    </row>
    <row r="31" spans="2:18" ht="16.44">
      <c r="B31" s="158">
        <v>40558</v>
      </c>
      <c r="C31" s="212">
        <f>'Modèle principal'!DD6</f>
        <v>2.0823662100919679E-2</v>
      </c>
      <c r="D31" s="212">
        <f>(LN('Modèle principal'!BR6/'Modèle principal'!BR5))/('Modèle principal'!BA6-'Modèle principal'!BA5)</f>
        <v>0</v>
      </c>
      <c r="E31" s="14">
        <f>'Modèle principal'!DF6</f>
        <v>92.660083310629844</v>
      </c>
      <c r="F31" s="13">
        <f>'Modèle principal'!BB6-'Modèle principal'!BB5</f>
        <v>-7.3399166893701562</v>
      </c>
      <c r="G31" s="107">
        <f>'Modèle principal'!DR5</f>
        <v>0</v>
      </c>
      <c r="H31" s="13">
        <f t="shared" si="0"/>
        <v>-7.3399166893701562</v>
      </c>
    </row>
    <row r="32" spans="2:18" ht="16.44">
      <c r="B32" s="158">
        <v>40575</v>
      </c>
      <c r="C32" s="212">
        <f>'Modèle principal'!DD7</f>
        <v>2.2065264002602884E-2</v>
      </c>
      <c r="D32" s="212">
        <f>(LN('Modèle principal'!BR7/'Modèle principal'!BR6))/('Modèle principal'!BA7-'Modèle principal'!BA6)</f>
        <v>0</v>
      </c>
      <c r="E32" s="14">
        <f>'Modèle principal'!DF7</f>
        <v>100.32108346182575</v>
      </c>
      <c r="F32" s="13">
        <f>'Modèle principal'!BB7-'Modèle principal'!BB6</f>
        <v>7.6610001511959069</v>
      </c>
      <c r="G32" s="107">
        <f>'Modèle principal'!DR6</f>
        <v>0</v>
      </c>
      <c r="H32" s="13">
        <f t="shared" si="0"/>
        <v>7.6610001511959069</v>
      </c>
    </row>
    <row r="33" spans="2:8" ht="16.44">
      <c r="B33" s="158">
        <v>40589</v>
      </c>
      <c r="C33" s="212">
        <f>'Modèle principal'!DD8</f>
        <v>2.7424563300131304E-2</v>
      </c>
      <c r="D33" s="212">
        <f>(LN('Modèle principal'!BR8/'Modèle principal'!BR7))/('Modèle principal'!BA8-'Modèle principal'!BA7)</f>
        <v>-9.5379566160373307E-3</v>
      </c>
      <c r="E33" s="14">
        <f>'Modèle principal'!DF8</f>
        <v>124.42065763678137</v>
      </c>
      <c r="F33" s="13">
        <f>'Modèle principal'!BB8-'Modèle principal'!BB7</f>
        <v>24.09957417495562</v>
      </c>
      <c r="G33" s="107">
        <f>'Modèle principal'!DR7</f>
        <v>0</v>
      </c>
      <c r="H33" s="13">
        <f t="shared" si="0"/>
        <v>24.09957417495562</v>
      </c>
    </row>
    <row r="34" spans="2:8" ht="16.44">
      <c r="B34" s="158">
        <v>40603</v>
      </c>
      <c r="C34" s="212">
        <f>'Modèle principal'!DD9</f>
        <v>2.9482251264468896E-2</v>
      </c>
      <c r="D34" s="212">
        <f>(LN('Modèle principal'!BR9/'Modèle principal'!BR8))/('Modèle principal'!BA9-'Modèle principal'!BA8)</f>
        <v>0</v>
      </c>
      <c r="E34" s="14">
        <f>'Modèle principal'!DF9</f>
        <v>158.6749522648</v>
      </c>
      <c r="F34" s="13">
        <f>'Modèle principal'!BB9-'Modèle principal'!BB8</f>
        <v>34.254294628018627</v>
      </c>
      <c r="G34" s="107">
        <f>'Modèle principal'!DR8</f>
        <v>0</v>
      </c>
      <c r="H34" s="13">
        <f t="shared" si="0"/>
        <v>34.254294628018627</v>
      </c>
    </row>
    <row r="35" spans="2:8" ht="16.44">
      <c r="B35" s="158">
        <v>40617</v>
      </c>
      <c r="C35" s="212">
        <f>'Modèle principal'!DD10</f>
        <v>3.7407924845798232E-2</v>
      </c>
      <c r="D35" s="212">
        <f>(LN('Modèle principal'!BR10/'Modèle principal'!BR9))/('Modèle principal'!BA10-'Modèle principal'!BA9)</f>
        <v>-1.1010762844804168E-2</v>
      </c>
      <c r="E35" s="14">
        <f>'Modèle principal'!DF10</f>
        <v>210.62746864578881</v>
      </c>
      <c r="F35" s="13">
        <f>'Modèle principal'!BB10-'Modèle principal'!BB9</f>
        <v>51.952516380988811</v>
      </c>
      <c r="G35" s="107">
        <f>'Modèle principal'!DR9</f>
        <v>0</v>
      </c>
      <c r="H35" s="13">
        <f t="shared" si="0"/>
        <v>51.952516380988811</v>
      </c>
    </row>
    <row r="36" spans="2:8" ht="16.44">
      <c r="B36" s="158">
        <v>40634</v>
      </c>
      <c r="C36" s="212">
        <f>'Modèle principal'!DD11</f>
        <v>4.498676952804382E-2</v>
      </c>
      <c r="D36" s="212">
        <f>(LN('Modèle principal'!BR11/'Modèle principal'!BR10))/('Modèle principal'!BA11-'Modèle principal'!BA10)</f>
        <v>0</v>
      </c>
      <c r="E36" s="14">
        <f>'Modèle principal'!DF11</f>
        <v>300.29874118793583</v>
      </c>
      <c r="F36" s="13">
        <f>'Modèle principal'!BB11-'Modèle principal'!BB10</f>
        <v>89.671272542147022</v>
      </c>
      <c r="G36" s="107">
        <f>'Modèle principal'!DR10</f>
        <v>0</v>
      </c>
      <c r="H36" s="13">
        <f t="shared" si="0"/>
        <v>89.671272542147022</v>
      </c>
    </row>
    <row r="37" spans="2:8" ht="16.44">
      <c r="B37" s="158">
        <v>40648</v>
      </c>
      <c r="C37" s="212">
        <f>'Modèle principal'!DD12</f>
        <v>5.1143018443206859E-2</v>
      </c>
      <c r="D37" s="212">
        <f>(LN('Modèle principal'!BR12/'Modèle principal'!BR11))/('Modèle principal'!BA12-'Modèle principal'!BA11)</f>
        <v>2.054871946084149E-2</v>
      </c>
      <c r="E37" s="14">
        <f>'Modèle principal'!DF12</f>
        <v>475.28153417114964</v>
      </c>
      <c r="F37" s="13">
        <f>'Modèle principal'!BB12-'Modèle principal'!BB11</f>
        <v>174.98279298321381</v>
      </c>
      <c r="G37" s="107">
        <f>'Modèle principal'!DR11</f>
        <v>0</v>
      </c>
      <c r="H37" s="13">
        <f t="shared" si="0"/>
        <v>174.98279298321381</v>
      </c>
    </row>
    <row r="38" spans="2:8" ht="16.44">
      <c r="B38" s="158">
        <v>40664</v>
      </c>
      <c r="C38" s="212">
        <f>'Modèle principal'!DD13</f>
        <v>4.8750503060226928E-2</v>
      </c>
      <c r="D38" s="212">
        <f>(LN('Modèle principal'!BR13/'Modèle principal'!BR12))/('Modèle principal'!BA13-'Modèle principal'!BA12)</f>
        <v>1.9903358194908412E-2</v>
      </c>
      <c r="E38" s="14">
        <f>'Modèle principal'!DF13</f>
        <v>757.12463328523631</v>
      </c>
      <c r="F38" s="13">
        <f>'Modèle principal'!BB13-'Modèle principal'!BB12</f>
        <v>281.84309911408667</v>
      </c>
      <c r="G38" s="107">
        <f>'Modèle principal'!DR12</f>
        <v>0</v>
      </c>
      <c r="H38" s="13">
        <f t="shared" si="0"/>
        <v>281.84309911408667</v>
      </c>
    </row>
    <row r="39" spans="2:8" ht="16.44">
      <c r="B39" s="158">
        <v>40678</v>
      </c>
      <c r="C39" s="212">
        <f>'Modèle principal'!DD14</f>
        <v>4.5138711588727939E-2</v>
      </c>
      <c r="D39" s="212">
        <f>(LN('Modèle principal'!BR14/'Modèle principal'!BR13))/('Modèle principal'!BA14-'Modèle principal'!BA13)</f>
        <v>2.2153923450274247E-2</v>
      </c>
      <c r="E39" s="14">
        <f>'Modèle principal'!DF14</f>
        <v>1194.0933612985234</v>
      </c>
      <c r="F39" s="13">
        <f>'Modèle principal'!BB14-'Modèle principal'!BB13</f>
        <v>436.96872801328709</v>
      </c>
      <c r="G39" s="107">
        <f>'Modèle principal'!DR13</f>
        <v>0</v>
      </c>
      <c r="H39" s="13">
        <f t="shared" si="0"/>
        <v>436.96872801328709</v>
      </c>
    </row>
    <row r="40" spans="2:8" ht="16.44">
      <c r="B40" s="158">
        <v>40695</v>
      </c>
      <c r="C40" s="212">
        <f>'Modèle principal'!DD15</f>
        <v>4.2157037364144417E-2</v>
      </c>
      <c r="D40" s="212">
        <f>(LN('Modèle principal'!BR15/'Modèle principal'!BR14))/('Modèle principal'!BA15-'Modèle principal'!BA14)</f>
        <v>1.3905222239072373E-2</v>
      </c>
      <c r="E40" s="14">
        <f>'Modèle principal'!DF15</f>
        <v>1825.1496160378006</v>
      </c>
      <c r="F40" s="13">
        <f>'Modèle principal'!BB15-'Modèle principal'!BB14</f>
        <v>631.05625473927716</v>
      </c>
      <c r="G40" s="107">
        <f>'Modèle principal'!DR14</f>
        <v>0</v>
      </c>
      <c r="H40" s="13">
        <f t="shared" si="0"/>
        <v>631.05625473927716</v>
      </c>
    </row>
    <row r="41" spans="2:8" ht="16.44">
      <c r="B41" s="158">
        <v>40709</v>
      </c>
      <c r="C41" s="212">
        <f>'Modèle principal'!DD16</f>
        <v>3.9423314037695847E-2</v>
      </c>
      <c r="D41" s="212">
        <f>(LN('Modèle principal'!BR16/'Modèle principal'!BR15))/('Modèle principal'!BA16-'Modèle principal'!BA15)</f>
        <v>1.0471676727991102E-2</v>
      </c>
      <c r="E41" s="14">
        <f>'Modèle principal'!DF16</f>
        <v>2708.7749400694211</v>
      </c>
      <c r="F41" s="13">
        <f>'Modèle principal'!BB16-'Modèle principal'!BB15</f>
        <v>883.62532403162049</v>
      </c>
      <c r="G41" s="107">
        <f>'Modèle principal'!DR15</f>
        <v>0</v>
      </c>
      <c r="H41" s="13">
        <f t="shared" si="0"/>
        <v>883.62532403162049</v>
      </c>
    </row>
    <row r="42" spans="2:8" ht="16.44">
      <c r="B42" s="158">
        <v>40725</v>
      </c>
      <c r="C42" s="212">
        <f>'Modèle principal'!DD17</f>
        <v>3.7556015607528026E-2</v>
      </c>
      <c r="D42" s="212">
        <f>(LN('Modèle principal'!BR17/'Modèle principal'!BR16))/('Modèle principal'!BA17-'Modèle principal'!BA16)</f>
        <v>5.4382110618518562E-3</v>
      </c>
      <c r="E42" s="14">
        <f>'Modèle principal'!DF17</f>
        <v>3862.1691866233855</v>
      </c>
      <c r="F42" s="13">
        <f>'Modèle principal'!BB17-'Modèle principal'!BB16</f>
        <v>1153.3942465539644</v>
      </c>
      <c r="G42" s="107">
        <f>'Modèle principal'!DR16</f>
        <v>0</v>
      </c>
      <c r="H42" s="13">
        <f t="shared" si="0"/>
        <v>1153.3942465539644</v>
      </c>
    </row>
    <row r="43" spans="2:8" ht="16.44">
      <c r="B43" s="158">
        <v>40739</v>
      </c>
      <c r="C43" s="212">
        <f>'Modèle principal'!DD18</f>
        <v>3.5293569098724553E-2</v>
      </c>
      <c r="D43" s="212">
        <f>(LN('Modèle principal'!BR18/'Modèle principal'!BR17))/('Modèle principal'!BA18-'Modèle principal'!BA17)</f>
        <v>2.9158567514467998E-3</v>
      </c>
      <c r="E43" s="14">
        <f>'Modèle principal'!DF18</f>
        <v>5378.3159131916264</v>
      </c>
      <c r="F43" s="13">
        <f>'Modèle principal'!BB18-'Modèle principal'!BB17</f>
        <v>1516.1467265682409</v>
      </c>
      <c r="G43" s="107">
        <f>'Modèle principal'!DR17</f>
        <v>0</v>
      </c>
      <c r="H43" s="13">
        <f t="shared" si="0"/>
        <v>1516.1467265682409</v>
      </c>
    </row>
    <row r="44" spans="2:8" ht="16.44">
      <c r="B44" s="158">
        <v>40756</v>
      </c>
      <c r="C44" s="212">
        <f>'Modèle principal'!DD19</f>
        <v>3.4306858441736046E-2</v>
      </c>
      <c r="D44" s="212">
        <f>(LN('Modèle principal'!BR19/'Modèle principal'!BR18))/('Modèle principal'!BA19-'Modèle principal'!BA18)</f>
        <v>0</v>
      </c>
      <c r="E44" s="14">
        <f>'Modèle principal'!DF19</f>
        <v>7230.7195926645572</v>
      </c>
      <c r="F44" s="13">
        <f>'Modèle principal'!BB19-'Modèle principal'!BB18</f>
        <v>1852.4036794729309</v>
      </c>
      <c r="G44" s="107">
        <f>'Modèle principal'!DR18</f>
        <v>0</v>
      </c>
      <c r="H44" s="13">
        <f t="shared" si="0"/>
        <v>1852.4036794729309</v>
      </c>
    </row>
    <row r="45" spans="2:8" ht="16.44">
      <c r="B45" s="158">
        <v>40770</v>
      </c>
      <c r="C45" s="212">
        <f>'Modèle principal'!DD20</f>
        <v>3.4398891497080808E-2</v>
      </c>
      <c r="D45" s="212">
        <f>(LN('Modèle principal'!BR20/'Modèle principal'!BR19))/('Modèle principal'!BA20-'Modèle principal'!BA19)</f>
        <v>-9.1309551078489204E-3</v>
      </c>
      <c r="E45" s="14">
        <f>'Modèle principal'!DF20</f>
        <v>9590.6365557186346</v>
      </c>
      <c r="F45" s="13">
        <f>'Modèle principal'!BB20-'Modèle principal'!BB19</f>
        <v>2359.9169630540773</v>
      </c>
      <c r="G45" s="107">
        <f>'Modèle principal'!DR19</f>
        <v>0</v>
      </c>
      <c r="H45" s="13">
        <f t="shared" si="0"/>
        <v>2359.9169630540773</v>
      </c>
    </row>
    <row r="46" spans="2:8" ht="16.44">
      <c r="B46" s="158">
        <v>40787</v>
      </c>
      <c r="C46" s="212">
        <f>'Modèle principal'!DD21</f>
        <v>3.2726238096280898E-2</v>
      </c>
      <c r="D46" s="212">
        <f>(LN('Modèle principal'!BR21/'Modèle principal'!BR20))/('Modèle principal'!BA21-'Modèle principal'!BA20)</f>
        <v>-8.6237337759926692E-3</v>
      </c>
      <c r="E46" s="14">
        <f>'Modèle principal'!DF21</f>
        <v>2460.1022854654038</v>
      </c>
      <c r="F46" s="13">
        <f>'Modèle principal'!BB21-'Modèle principal'!BB20</f>
        <v>-7130.5342702532307</v>
      </c>
      <c r="G46" s="107">
        <f>'Modèle principal'!DR20</f>
        <v>9840.4091418616226</v>
      </c>
      <c r="H46" s="13">
        <f t="shared" si="0"/>
        <v>2709.8748716083919</v>
      </c>
    </row>
    <row r="47" spans="2:8" ht="16.44">
      <c r="B47" s="158">
        <v>40801</v>
      </c>
      <c r="C47" s="212">
        <f>'Modèle principal'!DD22</f>
        <v>3.5625275880967873E-2</v>
      </c>
      <c r="D47" s="212">
        <f>(LN('Modèle principal'!BR22/'Modèle principal'!BR21))/('Modèle principal'!BA22-'Modèle principal'!BA21)</f>
        <v>-1.2275018351904235E-2</v>
      </c>
      <c r="E47" s="14">
        <f>'Modèle principal'!DF22</f>
        <v>3052.4382048365969</v>
      </c>
      <c r="F47" s="13">
        <f>'Modèle principal'!BB22-'Modèle principal'!BB21</f>
        <v>592.33591937119309</v>
      </c>
      <c r="G47" s="107">
        <f>'Modèle principal'!DR21</f>
        <v>0</v>
      </c>
      <c r="H47" s="13">
        <f t="shared" si="0"/>
        <v>592.33591937119309</v>
      </c>
    </row>
    <row r="48" spans="2:8" ht="16.44">
      <c r="B48" s="158">
        <v>40817</v>
      </c>
      <c r="C48" s="212">
        <f>'Modèle principal'!DD23</f>
        <v>2.8965329265222054E-2</v>
      </c>
      <c r="D48" s="212">
        <f>(LN('Modèle principal'!BR23/'Modèle principal'!BR22))/('Modèle principal'!BA23-'Modèle principal'!BA22)</f>
        <v>-4.0336575710981986E-3</v>
      </c>
      <c r="E48" s="14">
        <f>'Modèle principal'!DF23</f>
        <v>3909.0644346215081</v>
      </c>
      <c r="F48" s="13">
        <f>'Modèle principal'!BB23-'Modèle principal'!BB22</f>
        <v>856.62622978491117</v>
      </c>
      <c r="G48" s="107">
        <f>'Modèle principal'!DR22</f>
        <v>0</v>
      </c>
      <c r="H48" s="13">
        <f t="shared" si="0"/>
        <v>856.62622978491117</v>
      </c>
    </row>
    <row r="49" spans="2:8" ht="16.44">
      <c r="B49" s="158">
        <v>40831</v>
      </c>
      <c r="C49" s="212">
        <f>'Modèle principal'!DD24</f>
        <v>-5.0125418235442863E-3</v>
      </c>
      <c r="D49" s="212">
        <f>(LN('Modèle principal'!BR24/'Modèle principal'!BR23))/('Modèle principal'!BA24-'Modèle principal'!BA23)</f>
        <v>-1.5938825093872122E-2</v>
      </c>
      <c r="E49" s="14">
        <f>'Modèle principal'!DF24</f>
        <v>4537.2431951693252</v>
      </c>
      <c r="F49" s="13">
        <f>'Modèle principal'!BB24-'Modèle principal'!BB23</f>
        <v>628.17876054781709</v>
      </c>
      <c r="G49" s="107">
        <f>'Modèle principal'!DR23</f>
        <v>0</v>
      </c>
      <c r="H49" s="13">
        <f t="shared" si="0"/>
        <v>628.17876054781709</v>
      </c>
    </row>
    <row r="50" spans="2:8" ht="16.44">
      <c r="B50" s="158">
        <v>40848</v>
      </c>
      <c r="C50" s="212">
        <f>'Modèle principal'!DD25</f>
        <v>-5.0125418235442863E-3</v>
      </c>
      <c r="D50" s="212">
        <f>(LN('Modèle principal'!BR25/'Modèle principal'!BR24))/('Modèle principal'!BA25-'Modèle principal'!BA24)</f>
        <v>-1.6922474850104757E-2</v>
      </c>
      <c r="E50" s="14">
        <f>'Modèle principal'!DF25</f>
        <v>3398.9403589717499</v>
      </c>
      <c r="F50" s="13">
        <f>'Modèle principal'!BB25-'Modèle principal'!BB24</f>
        <v>-1138.3028361975753</v>
      </c>
      <c r="G50" s="107">
        <f>'Modèle principal'!DR24</f>
        <v>0</v>
      </c>
      <c r="H50" s="13">
        <f t="shared" si="0"/>
        <v>-1138.3028361975753</v>
      </c>
    </row>
    <row r="51" spans="2:8" ht="16.44">
      <c r="B51" s="158">
        <v>40862</v>
      </c>
      <c r="C51" s="212">
        <f>'Modèle principal'!DD26</f>
        <v>-5.0125418235442863E-3</v>
      </c>
      <c r="D51" s="212">
        <f>(LN('Modèle principal'!BR26/'Modèle principal'!BR25))/('Modèle principal'!BA26-'Modèle principal'!BA25)</f>
        <v>-4.0827438457106168E-3</v>
      </c>
      <c r="E51" s="14">
        <f>'Modèle principal'!DF26</f>
        <v>2627.3572856939195</v>
      </c>
      <c r="F51" s="13">
        <f>'Modèle principal'!BB26-'Modèle principal'!BB25</f>
        <v>-771.58307327783041</v>
      </c>
      <c r="G51" s="107">
        <f>'Modèle principal'!DR25</f>
        <v>0</v>
      </c>
      <c r="H51" s="13">
        <f t="shared" si="0"/>
        <v>-771.58307327783041</v>
      </c>
    </row>
    <row r="52" spans="2:8" ht="16.44">
      <c r="B52" s="158">
        <v>40878</v>
      </c>
      <c r="C52" s="212">
        <f>'Modèle principal'!DD27</f>
        <v>-5.0125418235442863E-3</v>
      </c>
      <c r="D52" s="212">
        <f>(LN('Modèle principal'!BR27/'Modèle principal'!BR26))/('Modèle principal'!BA27-'Modèle principal'!BA26)</f>
        <v>-1.8658101968550725E-3</v>
      </c>
      <c r="E52" s="14">
        <f>'Modèle principal'!DF27</f>
        <v>2328.2397431380459</v>
      </c>
      <c r="F52" s="13">
        <f>'Modèle principal'!BB27-'Modèle principal'!BB26</f>
        <v>-299.11754255587357</v>
      </c>
      <c r="G52" s="107">
        <f>'Modèle principal'!DR26</f>
        <v>0</v>
      </c>
      <c r="H52" s="13">
        <f t="shared" si="0"/>
        <v>-299.11754255587357</v>
      </c>
    </row>
    <row r="53" spans="2:8" ht="16.44">
      <c r="B53" s="158">
        <v>40892</v>
      </c>
      <c r="C53" s="212">
        <f>'Modèle principal'!DD28</f>
        <v>-5.0125418235442863E-3</v>
      </c>
      <c r="D53" s="212">
        <f>(LN('Modèle principal'!BR28/'Modèle principal'!BR27))/('Modèle principal'!BA28-'Modèle principal'!BA27)</f>
        <v>-2.197975619053833E-3</v>
      </c>
      <c r="E53" s="14">
        <f>'Modèle principal'!DF28</f>
        <v>2108.1064703911084</v>
      </c>
      <c r="F53" s="13" t="e">
        <f>'Modèle principal'!BB28-'Modèle principal'!BB27</f>
        <v>#VALUE!</v>
      </c>
      <c r="G53" s="107">
        <f>'Modèle principal'!DR27</f>
        <v>0</v>
      </c>
      <c r="H53" s="13" t="e">
        <f t="shared" si="0"/>
        <v>#VALUE!</v>
      </c>
    </row>
    <row r="54" spans="2:8" ht="16.44">
      <c r="B54" s="158">
        <v>40908</v>
      </c>
      <c r="C54" s="212">
        <f>'Modèle principal'!DD29</f>
        <v>-5.0125418235442863E-3</v>
      </c>
      <c r="D54" s="212">
        <f>(LN('Modèle principal'!BR29/'Modèle principal'!BR28))/('Modèle principal'!BA29-'Modèle principal'!BA28)</f>
        <v>0</v>
      </c>
      <c r="E54" s="14">
        <f>'Modèle principal'!DF29</f>
        <v>1889.5000561255986</v>
      </c>
      <c r="F54" s="13" t="e">
        <f>'Modèle principal'!BB29-'Modèle principal'!BB28</f>
        <v>#VALUE!</v>
      </c>
      <c r="G54" s="107">
        <f>'Modèle principal'!DR28</f>
        <v>0</v>
      </c>
      <c r="H54" s="13" t="e">
        <f t="shared" si="0"/>
        <v>#VALUE!</v>
      </c>
    </row>
  </sheetData>
  <mergeCells count="1">
    <mergeCell ref="K23:R2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1A9A2"/>
  </sheetPr>
  <dimension ref="B8:B10"/>
  <sheetViews>
    <sheetView topLeftCell="A1" workbookViewId="0" showGridLines="0" zoomScale="90">
      <selection activeCell="L37" sqref="L37"/>
    </sheetView>
  </sheetViews>
  <sheetFormatPr defaultColWidth="10.449" defaultRowHeight="16"/>
  <sheetData>
    <row r="8" spans="2:2">
      <c r="B8" s="7"/>
    </row>
    <row r="9" spans="2:2">
      <c r="B9" s="7"/>
    </row>
    <row r="10" spans="2:2">
      <c r="B10" s="7"/>
    </row>
  </sheetData>
  <sheetProtection password="CF27" sheet="1" objects="1" scenarios="1"/>
  <customSheetViews>
    <customSheetView guid="{40D14490-07BB-46F3-8435-9C462BE853EE}" topLeftCell="A12">
      <selection activeCell="L37" sqref="L37"/>
      <pageMargins left="0" right="0" top="0" bottom="0" header="0" footer="0"/>
      <pageSetup orientation="portrait" horizontalDpi="0" verticalDpi="0" r:id="rId1"/>
    </customSheetView>
    <customSheetView guid="{C5ECCA7E-81F6-46F5-BEA0-A5F2DAD22AC9}" topLeftCell="A12">
      <selection activeCell="L37" sqref="L37"/>
      <pageMargins left="0" right="0" top="0" bottom="0" header="0" footer="0"/>
      <pageSetup orientation="portrait" horizontalDpi="0" verticalDpi="0" r:id="rId2"/>
    </customSheetView>
  </customSheetViews>
  <pageMargins left="0.7" right="0.7" top="0.75" bottom="0.75" header="0.3" footer="0.3"/>
  <pageSetup orientation="portrait" horizontalDpi="0" verticalDpi="0"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91A9A2"/>
  </sheetPr>
  <dimension ref="A1"/>
  <sheetViews>
    <sheetView workbookViewId="0" showGridLines="0" zoomScale="90" topLeftCell="A1">
      <selection activeCell="R11" sqref="R11"/>
    </sheetView>
  </sheetViews>
  <sheetFormatPr defaultColWidth="10.449" defaultRowHeight="16"/>
  <sheetData/>
  <sheetProtection password="CF27" sheet="1" objects="1" scenarios="1"/>
  <customSheetViews>
    <customSheetView guid="{40D14490-07BB-46F3-8435-9C462BE853EE}">
      <selection activeCell="R11" sqref="R11"/>
      <pageMargins left="0" right="0" top="0" bottom="0" header="0" footer="0"/>
    </customSheetView>
    <customSheetView guid="{C5ECCA7E-81F6-46F5-BEA0-A5F2DAD22AC9}">
      <selection activeCell="R11" sqref="R11"/>
      <pageMargins left="0" right="0" top="0" bottom="0" header="0" footer="0"/>
    </customSheetView>
  </customSheetView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49A48"/>
  </sheetPr>
  <dimension ref="B3:H16"/>
  <sheetViews>
    <sheetView workbookViewId="0" showGridLines="0" zoomScale="90" topLeftCell="A1">
      <selection activeCell="B3" sqref="B3:D11"/>
    </sheetView>
  </sheetViews>
  <sheetFormatPr defaultColWidth="10.449" defaultRowHeight="16"/>
  <sheetData>
    <row r="3" spans="2:8">
      <c r="B3" s="374" t="s">
        <v>347</v>
      </c>
      <c r="C3" s="374" t="s">
        <v>348</v>
      </c>
      <c r="D3" s="165" t="s">
        <v>377</v>
      </c>
      <c r="E3" t="s">
        <v>382</v>
      </c>
      <c r="F3" t="s">
        <v>383</v>
      </c>
      <c r="G3" t="s">
        <v>384</v>
      </c>
      <c r="H3" t="s">
        <v>385</v>
      </c>
    </row>
    <row r="4" spans="2:8" ht="16.44">
      <c r="B4">
        <v>0</v>
      </c>
      <c r="D4" s="361">
        <v>10</v>
      </c>
      <c r="E4" s="361">
        <v>25</v>
      </c>
      <c r="F4" s="361">
        <v>50</v>
      </c>
      <c r="G4" s="361">
        <v>100</v>
      </c>
      <c r="H4" s="361">
        <v>150</v>
      </c>
    </row>
    <row r="5" spans="2:8" ht="16.44">
      <c r="B5">
        <v>1</v>
      </c>
      <c r="C5" s="23">
        <v>2.1000000000000001E-2</v>
      </c>
      <c r="D5" s="166">
        <f>D4*EXP($C5*30)</f>
        <v>18.776105792643431</v>
      </c>
      <c r="E5" s="166">
        <f t="shared" ref="E5:H10" si="0">E4*EXP($C5*30)</f>
        <v>46.94026448160858</v>
      </c>
      <c r="F5" s="166">
        <f t="shared" si="0"/>
        <v>93.880528963217159</v>
      </c>
      <c r="G5" s="166">
        <f t="shared" si="0"/>
        <v>187.76105792643432</v>
      </c>
      <c r="H5" s="166">
        <f t="shared" si="0"/>
        <v>281.64158688965148</v>
      </c>
    </row>
    <row r="6" spans="2:8" ht="16.44">
      <c r="B6">
        <v>2</v>
      </c>
      <c r="C6" s="23">
        <v>2.1000000000000001E-2</v>
      </c>
      <c r="D6" s="166">
        <f t="shared" ref="D6:D11" si="1">D5*EXP($C6*30)</f>
        <v>35.254214873653822</v>
      </c>
      <c r="E6" s="166">
        <f t="shared" si="0"/>
        <v>88.135537184134563</v>
      </c>
      <c r="F6" s="166">
        <f t="shared" si="0"/>
        <v>176.27107436826913</v>
      </c>
      <c r="G6" s="166">
        <f t="shared" si="0"/>
        <v>352.54214873653825</v>
      </c>
      <c r="H6" s="166">
        <f t="shared" si="0"/>
        <v>528.81322310480732</v>
      </c>
    </row>
    <row r="7" spans="2:8" ht="16.44">
      <c r="B7">
        <v>3</v>
      </c>
      <c r="C7" s="23">
        <v>2.1000000000000001E-2</v>
      </c>
      <c r="D7" s="166">
        <f t="shared" si="1"/>
        <v>66.193686810430776</v>
      </c>
      <c r="E7" s="166">
        <f t="shared" si="0"/>
        <v>165.48421702607695</v>
      </c>
      <c r="F7" s="166">
        <f t="shared" si="0"/>
        <v>330.9684340521539</v>
      </c>
      <c r="G7" s="166">
        <f t="shared" si="0"/>
        <v>661.93686810430779</v>
      </c>
      <c r="H7" s="166">
        <f t="shared" si="0"/>
        <v>992.90530215646163</v>
      </c>
    </row>
    <row r="8" spans="2:8" ht="16.44">
      <c r="B8">
        <v>4</v>
      </c>
      <c r="C8" s="23">
        <v>2.1000000000000001E-2</v>
      </c>
      <c r="D8" s="166">
        <f t="shared" si="1"/>
        <v>124.28596663577544</v>
      </c>
      <c r="E8" s="166">
        <f t="shared" si="0"/>
        <v>310.71491658943864</v>
      </c>
      <c r="F8" s="166">
        <f t="shared" si="0"/>
        <v>621.42983317887729</v>
      </c>
      <c r="G8" s="166">
        <f t="shared" si="0"/>
        <v>1242.8596663577546</v>
      </c>
      <c r="H8" s="166">
        <f t="shared" si="0"/>
        <v>1864.2894995366316</v>
      </c>
    </row>
    <row r="9" spans="2:8" ht="16.44">
      <c r="B9">
        <v>5</v>
      </c>
      <c r="C9" s="23">
        <v>2.1000000000000001E-2</v>
      </c>
      <c r="D9" s="166">
        <f t="shared" si="1"/>
        <v>233.36064580942715</v>
      </c>
      <c r="E9" s="166">
        <f t="shared" si="0"/>
        <v>583.40161452356801</v>
      </c>
      <c r="F9" s="166">
        <f t="shared" si="0"/>
        <v>1166.803229047136</v>
      </c>
      <c r="G9" s="166">
        <f t="shared" si="0"/>
        <v>2333.6064580942721</v>
      </c>
      <c r="H9" s="166">
        <f t="shared" si="0"/>
        <v>3500.4096871414072</v>
      </c>
    </row>
    <row r="10" spans="2:8" ht="16.44">
      <c r="B10">
        <v>6</v>
      </c>
      <c r="C10" s="23">
        <v>2.1000000000000001E-2</v>
      </c>
      <c r="D10" s="166">
        <f t="shared" si="1"/>
        <v>438.16041735573975</v>
      </c>
      <c r="E10" s="166">
        <f t="shared" si="0"/>
        <v>1095.4010433893495</v>
      </c>
      <c r="F10" s="166">
        <f t="shared" si="0"/>
        <v>2190.802086778699</v>
      </c>
      <c r="G10" s="166">
        <f t="shared" si="0"/>
        <v>4381.6041735573981</v>
      </c>
      <c r="H10" s="166">
        <f t="shared" si="0"/>
        <v>6572.4062603360953</v>
      </c>
    </row>
    <row r="11" spans="2:8" ht="16.44">
      <c r="B11">
        <v>7</v>
      </c>
      <c r="C11" s="23">
        <v>2.1000000000000001E-2</v>
      </c>
      <c r="D11" s="166">
        <f t="shared" si="1"/>
        <v>822.6946350420169</v>
      </c>
      <c r="E11" s="166">
        <f>E10*EXP($C11*30)</f>
        <v>2056.7365876050426</v>
      </c>
      <c r="F11" s="166">
        <f>F10*EXP($C11*30)</f>
        <v>4113.4731752100852</v>
      </c>
      <c r="G11" s="166">
        <f>G10*EXP($C11*30)</f>
        <v>8226.9463504201703</v>
      </c>
      <c r="H11" s="166">
        <f>H10*EXP($C11*30)</f>
        <v>12340.419525630252</v>
      </c>
    </row>
    <row r="12" spans="2:8" ht="16.44">
      <c r="C12" s="23"/>
      <c r="D12" s="166"/>
      <c r="E12" s="166"/>
      <c r="F12" s="166"/>
      <c r="G12" s="166"/>
      <c r="H12" s="166"/>
    </row>
    <row r="13" spans="2:8" ht="16.44">
      <c r="C13" s="23"/>
      <c r="D13" s="166"/>
      <c r="E13" s="166"/>
      <c r="F13" s="166"/>
      <c r="G13" s="166"/>
      <c r="H13" s="166"/>
    </row>
    <row r="14" spans="2:8" ht="16.44">
      <c r="C14" s="23"/>
      <c r="D14" s="166"/>
      <c r="E14" s="166"/>
      <c r="F14" s="166"/>
      <c r="G14" s="166"/>
      <c r="H14" s="166"/>
    </row>
    <row r="15" spans="2:8" ht="16.44">
      <c r="C15" s="23"/>
      <c r="D15" s="166"/>
      <c r="E15" s="166"/>
      <c r="F15" s="166"/>
      <c r="G15" s="166"/>
      <c r="H15" s="166"/>
    </row>
    <row r="16" spans="2:8" ht="16.44">
      <c r="C16" s="23"/>
      <c r="D16" s="166"/>
      <c r="E16" s="166"/>
      <c r="F16" s="166"/>
      <c r="G16" s="166"/>
      <c r="H16" s="166"/>
    </row>
  </sheetData>
  <customSheetViews>
    <customSheetView guid="{40D14490-07BB-46F3-8435-9C462BE853EE}" topLeftCell="A11">
      <selection activeCell="M33" sqref="M33"/>
      <pageMargins left="0" right="0" top="0" bottom="0" header="0" footer="0"/>
    </customSheetView>
    <customSheetView guid="{C5ECCA7E-81F6-46F5-BEA0-A5F2DAD22AC9}" topLeftCell="A11">
      <selection activeCell="M33" sqref="M33"/>
      <pageMargins left="0" right="0" top="0" bottom="0" header="0" footer="0"/>
    </customSheetView>
  </customSheetView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1A9A2"/>
  </sheetPr>
  <dimension ref="B30:J66"/>
  <sheetViews>
    <sheetView topLeftCell="A1" workbookViewId="0" showGridLines="0" zoomScale="90">
      <selection activeCell="O78" sqref="O78"/>
    </sheetView>
  </sheetViews>
  <sheetFormatPr defaultColWidth="10.449" defaultRowHeight="16"/>
  <sheetData>
    <row r="30" spans="2:6">
      <c r="B30" t="s">
        <v>386</v>
      </c>
    </row>
    <row r="31" spans="2:6">
      <c r="B31" s="433" t="s">
        <v>387</v>
      </c>
      <c r="C31" s="433"/>
      <c r="D31" s="433"/>
      <c r="E31" s="433"/>
      <c r="F31" s="433"/>
    </row>
    <row r="32" spans="2:6">
      <c r="B32" s="433"/>
      <c r="C32" s="433"/>
      <c r="D32" s="433"/>
      <c r="E32" s="433"/>
      <c r="F32" s="433"/>
    </row>
    <row r="33" spans="2:6">
      <c r="B33" s="433"/>
      <c r="C33" s="433"/>
      <c r="D33" s="433"/>
      <c r="E33" s="433"/>
      <c r="F33" s="433"/>
    </row>
    <row r="34" spans="2:6">
      <c r="B34" s="433"/>
      <c r="C34" s="433"/>
      <c r="D34" s="433"/>
      <c r="E34" s="433"/>
      <c r="F34" s="433"/>
    </row>
    <row r="35" spans="2:6">
      <c r="B35" s="433"/>
      <c r="C35" s="433"/>
      <c r="D35" s="433"/>
      <c r="E35" s="433"/>
      <c r="F35" s="433"/>
    </row>
    <row r="50" spans="2:2" ht="16.44">
      <c r="B50" s="6"/>
    </row>
    <row r="66" spans="10:10">
      <c r="J66" t="s">
        <v>388</v>
      </c>
    </row>
  </sheetData>
  <customSheetViews>
    <customSheetView guid="{40D14490-07BB-46F3-8435-9C462BE853EE}">
      <selection activeCell="H83" sqref="H83"/>
      <pageMargins left="0" right="0" top="0" bottom="0" header="0" footer="0"/>
      <pageSetup orientation="portrait" horizontalDpi="0" verticalDpi="0" r:id="rId1"/>
    </customSheetView>
    <customSheetView guid="{C5ECCA7E-81F6-46F5-BEA0-A5F2DAD22AC9}">
      <selection activeCell="H83" sqref="H83"/>
      <pageMargins left="0" right="0" top="0" bottom="0" header="0" footer="0"/>
      <pageSetup orientation="portrait" horizontalDpi="0" verticalDpi="0" r:id="rId2"/>
    </customSheetView>
  </customSheetViews>
  <mergeCells count="1">
    <mergeCell ref="B31:F35"/>
  </mergeCells>
  <pageMargins left="0.7" right="0.7" top="0.75" bottom="0.75" header="0.3" footer="0.3"/>
  <pageSetup orientation="portrait" horizontalDpi="0" verticalDpi="0" r:id="rId3"/>
  <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tabColor rgb="FF24594F"/>
  </sheetPr>
  <dimension ref="A1:FT154"/>
  <sheetViews>
    <sheetView topLeftCell="A1" zoomScale="90" zoomScaleNormal="90" workbookViewId="0" showGridLines="0">
      <selection activeCell="AD22" sqref="AD22"/>
    </sheetView>
  </sheetViews>
  <sheetFormatPr defaultColWidth="10.449" defaultRowHeight="21.53"/>
  <cols>
    <col min="1" max="1" width="2.862" customWidth="1"/>
    <col min="2" max="2" width="18.202" bestFit="1" customWidth="1"/>
    <col min="3" max="29" width="6.066" customWidth="1"/>
    <col min="30" max="30" width="12.809" bestFit="1" customWidth="1"/>
    <col min="31" max="31" width="8.089" customWidth="1"/>
    <col min="32" max="32" width="6.909" customWidth="1"/>
    <col min="33" max="33" width="9.269" customWidth="1"/>
    <col min="34" max="35" width="6.402" customWidth="1"/>
    <col min="36" max="37" width="5.222" customWidth="1"/>
    <col min="38" max="38" width="6.402" customWidth="1"/>
    <col min="39" max="39" width="5.222" customWidth="1"/>
    <col min="40" max="41" width="6.402" customWidth="1"/>
    <col min="42" max="50" width="5.222" customWidth="1"/>
    <col min="51" max="51" width="10.786" style="316" customWidth="1"/>
    <col min="52" max="52" width="13.482" style="36" customWidth="1"/>
    <col min="53" max="53" width="9.269" customWidth="1"/>
    <col min="54" max="54" width="9.942" customWidth="1"/>
    <col min="55" max="55" width="9.942" style="36" customWidth="1"/>
    <col min="56" max="56" width="9.942" customWidth="1"/>
    <col min="57" max="57" width="10.449" customWidth="1"/>
    <col min="58" max="58" width="14.662" customWidth="1"/>
    <col min="59" max="63" width="15.169" customWidth="1"/>
    <col min="64" max="65" width="12.302" customWidth="1"/>
    <col min="67" max="67" width="12.809" customWidth="1"/>
    <col min="69" max="69" width="9.942" customWidth="1"/>
    <col min="70" max="70" width="12.809" customWidth="1"/>
    <col min="72" max="72" width="12.809" customWidth="1"/>
    <col min="75" max="75" width="12.809" customWidth="1"/>
    <col min="76" max="76" width="10.449" style="5" customWidth="1"/>
    <col min="77" max="84" width="12.809" style="5" customWidth="1"/>
    <col min="85" max="85" width="13.989" style="5" customWidth="1"/>
    <col min="86" max="90" width="12.809" style="5" customWidth="1"/>
    <col min="91" max="101" width="12.809" customWidth="1"/>
    <col min="102" max="102" width="12.302" customWidth="1"/>
    <col min="103" max="103" width="11.629" customWidth="1"/>
    <col min="106" max="106" width="17.7" customWidth="1"/>
    <col min="107" max="107" width="13.482" bestFit="1" customWidth="1"/>
    <col min="108" max="109" width="12.809" customWidth="1"/>
    <col min="110" max="116" width="15.169" customWidth="1"/>
    <col min="117" max="117" width="17.7" customWidth="1"/>
    <col min="118" max="118" width="13.482" customWidth="1"/>
    <col min="119" max="119" width="11.629" customWidth="1"/>
    <col min="120" max="120" width="15.169" style="14" customWidth="1"/>
    <col min="121" max="121" width="15.169" style="46" customWidth="1"/>
    <col min="122" max="122" width="15.169" style="14" customWidth="1"/>
    <col min="123" max="123" width="17.7" customWidth="1"/>
    <col min="124" max="124" width="13.989" customWidth="1"/>
    <col min="125" max="127" width="12.809" customWidth="1"/>
    <col min="128" max="129" width="11.629" customWidth="1"/>
    <col min="130" max="131" width="12.809" customWidth="1"/>
    <col min="132" max="133" width="11.629" customWidth="1"/>
    <col min="134" max="134" width="12.809" customWidth="1"/>
    <col min="135" max="137" width="11.629" customWidth="1"/>
    <col min="138" max="138" width="15.169" customWidth="1"/>
    <col min="139" max="140" width="11.629" customWidth="1"/>
    <col min="141" max="143" width="12.809" customWidth="1"/>
  </cols>
  <sheetData>
    <row r="1" spans="1:176">
      <c r="AE1" s="393" t="s">
        <v>270</v>
      </c>
      <c r="AF1" s="393"/>
      <c r="AG1" s="393"/>
      <c r="AH1" s="393"/>
      <c r="AI1" s="393"/>
      <c r="AJ1" s="393"/>
      <c r="AK1" s="393"/>
      <c r="AL1" s="393"/>
      <c r="AM1" s="393"/>
      <c r="AN1" s="393"/>
      <c r="AO1" s="393"/>
      <c r="AP1" s="393"/>
      <c r="AQ1" s="393"/>
      <c r="AR1" s="393"/>
      <c r="AS1" s="393"/>
      <c r="AT1" s="393"/>
      <c r="AU1" s="393"/>
      <c r="AV1" s="393"/>
      <c r="AW1" s="393"/>
      <c r="AX1" s="393"/>
      <c r="AZ1" s="374"/>
      <c r="BC1" s="374"/>
      <c r="BP1" s="382" t="s">
        <v>1</v>
      </c>
      <c r="BQ1" s="382"/>
      <c r="BR1" s="382"/>
      <c r="BS1" s="382"/>
      <c r="BT1" s="382"/>
      <c r="BU1" s="383" t="s">
        <v>2</v>
      </c>
      <c r="BV1" s="383"/>
      <c r="BW1" s="383"/>
      <c r="BX1" s="383"/>
      <c r="BY1" s="383"/>
      <c r="BZ1" s="383"/>
      <c r="CA1" s="383"/>
      <c r="CB1" s="383"/>
      <c r="CC1" s="383"/>
      <c r="CD1" s="383"/>
      <c r="CE1"/>
      <c r="CF1"/>
      <c r="CG1" s="78"/>
      <c r="CH1" s="94" t="s">
        <v>3</v>
      </c>
      <c r="CI1" s="78"/>
      <c r="CJ1" s="78"/>
      <c r="CK1" s="78"/>
      <c r="CL1" s="78"/>
      <c r="CM1" s="78"/>
      <c r="CN1" s="93"/>
      <c r="CO1" s="78"/>
      <c r="CP1" s="78"/>
      <c r="CQ1" s="43"/>
      <c r="CR1" s="95" t="s">
        <v>4</v>
      </c>
      <c r="CS1" s="43"/>
      <c r="CT1" s="43"/>
      <c r="CU1" s="43"/>
      <c r="CV1" s="43"/>
      <c r="CW1" s="43"/>
      <c r="CX1" s="43"/>
      <c r="CY1" s="43"/>
      <c r="CZ1" s="43"/>
      <c r="DA1" s="43"/>
      <c r="DB1" s="110" t="s">
        <v>5</v>
      </c>
      <c r="DC1" s="384" t="s">
        <v>6</v>
      </c>
      <c r="DD1" s="384"/>
      <c r="DE1" s="110" t="s">
        <v>8</v>
      </c>
      <c r="DF1" s="361" t="s">
        <v>7</v>
      </c>
      <c r="DG1" s="46"/>
      <c r="DH1" s="46"/>
      <c r="DK1" s="369" t="s">
        <v>9</v>
      </c>
      <c r="DL1" s="369" t="s">
        <v>9</v>
      </c>
      <c r="DM1" s="184" t="s">
        <v>8</v>
      </c>
      <c r="DN1" s="369" t="s">
        <v>9</v>
      </c>
      <c r="DO1" s="374"/>
      <c r="DP1" s="46"/>
      <c r="DR1" s="369" t="s">
        <v>9</v>
      </c>
      <c r="DS1" s="361" t="s">
        <v>7</v>
      </c>
      <c r="DT1" s="361"/>
      <c r="DV1" s="385" t="s">
        <v>10</v>
      </c>
      <c r="DW1" s="385"/>
      <c r="DX1" s="385"/>
      <c r="EC1" s="387" t="s">
        <v>11</v>
      </c>
      <c r="ED1" s="387"/>
      <c r="EE1" s="387"/>
      <c r="EF1" s="387"/>
      <c r="EG1" s="387"/>
      <c r="EH1" s="387"/>
      <c r="EJ1" s="388" t="s">
        <v>12</v>
      </c>
      <c r="EK1" s="388"/>
      <c r="EL1" s="388"/>
    </row>
    <row r="2" spans="1:176" s="118" customFormat="1" ht="16" customHeight="1">
      <c r="J2" s="118">
        <v>100</v>
      </c>
      <c r="K2" s="118">
        <v>50</v>
      </c>
      <c r="Q2" s="118">
        <v>85</v>
      </c>
      <c r="R2" s="118" t="s">
        <v>13</v>
      </c>
      <c r="AE2" s="452"/>
      <c r="AF2" s="452"/>
      <c r="AG2" s="452"/>
      <c r="AH2" s="452"/>
      <c r="AI2" s="452"/>
      <c r="AJ2" s="204"/>
      <c r="AK2" s="204"/>
      <c r="AL2" s="204"/>
      <c r="AM2" s="204"/>
      <c r="AN2" s="204"/>
      <c r="AO2" s="204"/>
      <c r="AP2" s="204"/>
      <c r="AQ2" s="204"/>
      <c r="AR2" s="204"/>
      <c r="AS2" s="204"/>
      <c r="AT2" s="204"/>
      <c r="AU2" s="204"/>
      <c r="AV2" s="204"/>
      <c r="AW2" s="204"/>
      <c r="AX2" s="204"/>
      <c r="AY2" s="317"/>
      <c r="BC2" s="372"/>
      <c r="BF2" s="372" t="s">
        <v>14</v>
      </c>
      <c r="BN2" s="202"/>
      <c r="BP2" s="203" t="s">
        <v>15</v>
      </c>
      <c r="BQ2" s="138"/>
      <c r="BR2" s="372" t="s">
        <v>14</v>
      </c>
      <c r="BS2" s="138"/>
      <c r="BT2" s="372" t="s">
        <v>14</v>
      </c>
      <c r="BU2" s="372"/>
      <c r="BV2" s="372"/>
      <c r="BW2" s="372" t="s">
        <v>14</v>
      </c>
      <c r="BX2" s="372"/>
      <c r="BY2" s="372" t="s">
        <v>14</v>
      </c>
      <c r="BZ2" s="372" t="s">
        <v>14</v>
      </c>
      <c r="CA2" s="372"/>
      <c r="CB2" s="372"/>
      <c r="CC2" s="372"/>
      <c r="CD2" s="372" t="s">
        <v>14</v>
      </c>
      <c r="CE2" s="138"/>
      <c r="CF2" s="372" t="s">
        <v>14</v>
      </c>
      <c r="CG2" s="372"/>
      <c r="CH2" s="372"/>
      <c r="CI2" s="372"/>
      <c r="CJ2" s="372"/>
      <c r="CK2" s="372" t="s">
        <v>16</v>
      </c>
      <c r="CL2" s="118" t="s">
        <v>16</v>
      </c>
      <c r="CM2" s="372" t="s">
        <v>14</v>
      </c>
      <c r="CN2" s="372" t="s">
        <v>14</v>
      </c>
      <c r="CO2" s="372"/>
      <c r="CP2" s="372"/>
      <c r="CQ2" s="372"/>
      <c r="CR2" s="372"/>
      <c r="CS2" s="372"/>
      <c r="CT2" s="372"/>
      <c r="CU2" s="372" t="s">
        <v>16</v>
      </c>
      <c r="CV2" s="118" t="s">
        <v>16</v>
      </c>
      <c r="CW2" s="372"/>
      <c r="CX2" s="372"/>
      <c r="CY2" s="372" t="s">
        <v>14</v>
      </c>
      <c r="CZ2" s="372"/>
      <c r="DA2" s="372"/>
      <c r="DB2" s="372" t="s">
        <v>14</v>
      </c>
      <c r="DC2" s="372" t="s">
        <v>14</v>
      </c>
      <c r="DD2" s="118" t="s">
        <v>14</v>
      </c>
      <c r="DE2" s="372" t="s">
        <v>14</v>
      </c>
      <c r="DF2" s="372"/>
      <c r="DG2" s="200" t="s">
        <v>14</v>
      </c>
      <c r="DH2" s="201" t="s">
        <v>14</v>
      </c>
      <c r="DL2" s="372" t="s">
        <v>14</v>
      </c>
      <c r="DM2" s="138" t="s">
        <v>14</v>
      </c>
      <c r="DN2" s="194" t="s">
        <v>14</v>
      </c>
      <c r="DO2" s="372"/>
      <c r="DP2" s="372"/>
      <c r="DQ2" s="372"/>
      <c r="DR2" s="372" t="s">
        <v>14</v>
      </c>
      <c r="DS2" s="372"/>
      <c r="DT2" s="372"/>
      <c r="DU2" s="372"/>
      <c r="DV2" s="385"/>
      <c r="DW2" s="385"/>
      <c r="DX2" s="385"/>
      <c r="DY2" s="389" t="s">
        <v>14</v>
      </c>
      <c r="DZ2" s="389"/>
      <c r="EA2" s="371"/>
      <c r="EB2" s="371"/>
      <c r="EC2" s="390" t="s">
        <v>14</v>
      </c>
      <c r="ED2" s="391"/>
      <c r="EE2" s="391"/>
      <c r="EF2" s="372"/>
      <c r="EG2" s="372" t="s">
        <v>14</v>
      </c>
      <c r="EH2" s="372" t="s">
        <v>14</v>
      </c>
      <c r="EI2" s="372"/>
      <c r="EK2" s="118" t="s">
        <v>14</v>
      </c>
      <c r="EL2" s="372" t="s">
        <v>14</v>
      </c>
    </row>
    <row r="3" spans="1:176" ht="111.56" customHeight="1">
      <c r="A3" s="283"/>
      <c r="AD3" s="322" t="s">
        <v>389</v>
      </c>
      <c r="AE3" s="327" t="str">
        <f>BA3</f>
        <v>Date de début de la période</v>
      </c>
      <c r="AF3" s="281"/>
      <c r="AL3" s="190"/>
      <c r="AM3" s="190"/>
      <c r="AN3" s="190"/>
      <c r="AT3" s="190"/>
      <c r="AU3" s="190"/>
      <c r="AV3" s="190"/>
      <c r="AW3" s="190"/>
      <c r="AZ3" s="374"/>
      <c r="BA3" s="367" t="s">
        <v>17</v>
      </c>
      <c r="BB3" s="1" t="s">
        <v>18</v>
      </c>
      <c r="BC3" s="367" t="s">
        <v>19</v>
      </c>
      <c r="BD3" s="172" t="s">
        <v>20</v>
      </c>
      <c r="BE3" s="98" t="str">
        <f>DX3</f>
        <v>Comptage par lavage à l’alcool d’environ 120 mL de jeunes abeilles (½ tasse dans l’original)</v>
      </c>
      <c r="BF3" s="125" t="s">
        <v>21</v>
      </c>
      <c r="BG3" s="367" t="s">
        <v>22</v>
      </c>
      <c r="BH3" s="385" t="s">
        <v>23</v>
      </c>
      <c r="BI3" s="385"/>
      <c r="BJ3" s="385"/>
      <c r="BK3" s="385"/>
      <c r="BL3" s="385"/>
      <c r="BM3" s="385"/>
      <c r="BP3" s="363" t="s">
        <v>25</v>
      </c>
      <c r="BQ3" s="52" t="s">
        <v>26</v>
      </c>
      <c r="BR3" s="19" t="s">
        <v>27</v>
      </c>
      <c r="BS3" s="375" t="s">
        <v>28</v>
      </c>
      <c r="BT3" s="20" t="s">
        <v>29</v>
      </c>
      <c r="BU3" s="368" t="s">
        <v>30</v>
      </c>
      <c r="BV3" s="368" t="s">
        <v>31</v>
      </c>
      <c r="BW3" s="368" t="s">
        <v>32</v>
      </c>
      <c r="BX3" s="368" t="s">
        <v>33</v>
      </c>
      <c r="BY3" s="112" t="s">
        <v>34</v>
      </c>
      <c r="BZ3" s="111" t="s">
        <v>35</v>
      </c>
      <c r="CA3" s="368" t="s">
        <v>36</v>
      </c>
      <c r="CB3" s="102" t="s">
        <v>37</v>
      </c>
      <c r="CC3" s="368" t="s">
        <v>38</v>
      </c>
      <c r="CD3" s="368" t="s">
        <v>39</v>
      </c>
      <c r="CE3" s="137" t="s">
        <v>40</v>
      </c>
      <c r="CF3" s="19" t="s">
        <v>41</v>
      </c>
      <c r="CG3" s="57" t="s">
        <v>42</v>
      </c>
      <c r="CH3" s="57" t="s">
        <v>43</v>
      </c>
      <c r="CI3" s="57" t="s">
        <v>44</v>
      </c>
      <c r="CJ3" s="57" t="s">
        <v>45</v>
      </c>
      <c r="CK3" s="57" t="s">
        <v>46</v>
      </c>
      <c r="CL3" s="57" t="s">
        <v>47</v>
      </c>
      <c r="CM3" s="57" t="s">
        <v>48</v>
      </c>
      <c r="CN3" s="57" t="s">
        <v>49</v>
      </c>
      <c r="CO3" s="57" t="s">
        <v>50</v>
      </c>
      <c r="CP3" s="57" t="s">
        <v>51</v>
      </c>
      <c r="CQ3" s="357" t="s">
        <v>52</v>
      </c>
      <c r="CR3" s="58" t="s">
        <v>53</v>
      </c>
      <c r="CS3" s="357" t="s">
        <v>54</v>
      </c>
      <c r="CT3" s="357" t="s">
        <v>55</v>
      </c>
      <c r="CU3" s="358" t="s">
        <v>56</v>
      </c>
      <c r="CV3" s="358" t="s">
        <v>57</v>
      </c>
      <c r="CW3" s="357" t="s">
        <v>58</v>
      </c>
      <c r="CX3" s="357" t="s">
        <v>59</v>
      </c>
      <c r="CY3" s="357" t="s">
        <v>49</v>
      </c>
      <c r="CZ3" s="357" t="s">
        <v>50</v>
      </c>
      <c r="DA3" s="357" t="s">
        <v>60</v>
      </c>
      <c r="DB3" s="362" t="s">
        <v>61</v>
      </c>
      <c r="DC3" s="105" t="s">
        <v>62</v>
      </c>
      <c r="DD3" s="105" t="s">
        <v>63</v>
      </c>
      <c r="DE3" s="115" t="s">
        <v>67</v>
      </c>
      <c r="DF3" s="45" t="s">
        <v>64</v>
      </c>
      <c r="DG3" s="105" t="s">
        <v>65</v>
      </c>
      <c r="DH3" s="105" t="s">
        <v>66</v>
      </c>
      <c r="DJ3" s="105" t="s">
        <v>68</v>
      </c>
      <c r="DK3" s="106" t="s">
        <v>69</v>
      </c>
      <c r="DL3" s="106" t="s">
        <v>70</v>
      </c>
      <c r="DM3" s="185" t="s">
        <v>71</v>
      </c>
      <c r="DN3" s="108" t="s">
        <v>72</v>
      </c>
      <c r="DO3" s="81" t="s">
        <v>73</v>
      </c>
      <c r="DP3" s="105" t="s">
        <v>74</v>
      </c>
      <c r="DQ3" s="80" t="s">
        <v>75</v>
      </c>
      <c r="DR3" s="106" t="s">
        <v>76</v>
      </c>
      <c r="DS3" s="45" t="s">
        <v>77</v>
      </c>
      <c r="DT3" s="368" t="s">
        <v>78</v>
      </c>
      <c r="DU3" s="363" t="s">
        <v>25</v>
      </c>
      <c r="DV3" s="368" t="s">
        <v>79</v>
      </c>
      <c r="DW3" s="368" t="s">
        <v>80</v>
      </c>
      <c r="DX3" s="51" t="s">
        <v>81</v>
      </c>
      <c r="DY3" s="349" t="s">
        <v>390</v>
      </c>
      <c r="DZ3" s="349" t="s">
        <v>391</v>
      </c>
      <c r="EA3" s="349" t="s">
        <v>392</v>
      </c>
      <c r="EB3" s="349" t="s">
        <v>85</v>
      </c>
      <c r="EC3" s="368" t="s">
        <v>86</v>
      </c>
      <c r="ED3" s="368" t="s">
        <v>87</v>
      </c>
      <c r="EE3" s="368" t="s">
        <v>88</v>
      </c>
      <c r="EF3" s="368" t="s">
        <v>89</v>
      </c>
      <c r="EG3" s="368" t="s">
        <v>90</v>
      </c>
      <c r="EH3" s="195" t="s">
        <v>91</v>
      </c>
      <c r="EJ3" s="368" t="s">
        <v>92</v>
      </c>
      <c r="EK3" s="134" t="s">
        <v>93</v>
      </c>
      <c r="EL3" s="368" t="s">
        <v>94</v>
      </c>
      <c r="EP3" s="392" t="s">
        <v>95</v>
      </c>
      <c r="EQ3" s="392"/>
      <c r="ES3" s="186" t="s">
        <v>96</v>
      </c>
      <c r="ET3" s="368" t="s">
        <v>97</v>
      </c>
      <c r="EV3" s="165"/>
    </row>
    <row r="4" spans="1:176">
      <c r="B4" s="284"/>
      <c r="AD4" s="323"/>
      <c r="AE4" s="327">
        <f>BA4</f>
        <v>40544</v>
      </c>
      <c r="AZ4" s="374"/>
      <c r="BA4" s="288">
        <f>IF($AB$20="x", EQ4,EP4)</f>
        <v>40544</v>
      </c>
      <c r="BB4" s="48">
        <f t="shared" ref="BB4:BB27" si="0">IF(EB4&gt;0,"",DF4)</f>
        <v>100</v>
      </c>
      <c r="BC4" s="222">
        <f>IF(EB4&gt;0,"",DT4)</f>
        <v>-5.0125418235442759E-3</v>
      </c>
      <c r="BD4" s="173">
        <f t="shared" ref="BD4:BD28" si="1">IF(EB4&gt;0,"",DM4)</f>
        <v>0</v>
      </c>
      <c r="BE4" s="99">
        <f>IF(EB4&gt;0,"",DX4)</f>
        <v>1.3641486179387587</v>
      </c>
      <c r="BF4" s="4">
        <f t="shared" ref="BF4:BF28" si="2">IF(EB4&gt;0,"",IF(BT4&lt;5,"s.o.",CU4))</f>
        <v>0.23242001350979635</v>
      </c>
      <c r="BG4" s="3">
        <f t="shared" ref="BG4:BG28" si="3">IF(EB4&gt;0,"",CA4)</f>
        <v>0.69290088530222671</v>
      </c>
      <c r="BH4" s="6"/>
      <c r="BI4" s="393"/>
      <c r="BJ4" s="393"/>
      <c r="BK4" s="393"/>
      <c r="BL4" s="6"/>
      <c r="BM4" s="6"/>
      <c r="BN4" s="6"/>
      <c r="BP4" s="158">
        <f>BA4</f>
        <v>40544</v>
      </c>
      <c r="BQ4" s="373">
        <f>IF($BA$31="d",'Profils de colonie'!I31,IF($BA$31="n",'Profils de colonie'!I59,IF($BA$31="p",'Profils de colonie'!I87,IF($BA$31="a",'Profils de colonie'!I115,IF($BA$31="b",'Profils de colonie'!I143,IF($BA$31="c",'Profils de colonie'!I171,IF($BA$31="r",'Profils de colonie'!I199,IF($BA$31="s",'Profils de colonie'!I227,IF($BA$31="f",'Profils de colonie'!I255,"erreur")))))))))</f>
        <v>8</v>
      </c>
      <c r="BR4">
        <f t="shared" ref="BR4:BR27" si="4">BQ4*$BQ$44</f>
        <v>16000</v>
      </c>
      <c r="BS4" s="68">
        <f>IF($BA$31="d",'Profils de colonie'!G31,IF($BA$31="n",'Profils de colonie'!G59,IF($BA$31="p",'Profils de colonie'!G87,IF($BA$31="a",'Profils de colonie'!G115,IF($BA$31="b",'Profils de colonie'!G143,IF($BA$31="c",'Profils de colonie'!G171,IF($BA$31="r",'Profils de colonie'!G199,IF($BA$31="s",'Profils de colonie'!G227,IF($BA$31="f",'Profils de colonie'!G255,"erreur")))))))))</f>
        <v>4.2999999999999997E-2</v>
      </c>
      <c r="BT4" s="13">
        <f t="shared" ref="BT4:BT27" si="5">IF(BS4=0,1,$BQ$43*BS4)</f>
        <v>193.49999999999997</v>
      </c>
      <c r="BU4" s="17">
        <f t="shared" ref="BU4:BU27" si="6">IF(BR4=0,0,BT4/BR4)</f>
        <v>1.2093749999999999E-2</v>
      </c>
      <c r="BV4">
        <f>BT4*12/20</f>
        <v>116.09999999999998</v>
      </c>
      <c r="BW4" s="14">
        <f>CU4*BV4</f>
        <v>26.983963568487351</v>
      </c>
      <c r="BX4" s="14">
        <f t="shared" ref="BX4:BX27" si="7">BT4/20</f>
        <v>9.6749999999999989</v>
      </c>
      <c r="BY4" s="89">
        <f>IF(BU4=0,0.001,(-$BQ$42*LN(BU4))+$BQ$41)</f>
        <v>27.075332443760409</v>
      </c>
      <c r="BZ4" s="21">
        <f t="shared" ref="BZ4:BZ27" si="8">BY4+12</f>
        <v>39.075332443760409</v>
      </c>
      <c r="CA4" s="26">
        <f t="shared" ref="CA4:CA27" si="9">IF(BS4=0,1,BY4/BZ4)</f>
        <v>0.69290088530222671</v>
      </c>
      <c r="CB4" s="103">
        <f t="shared" ref="CB4:CB27" si="10">1-CA4</f>
        <v>0.30709911469777329</v>
      </c>
      <c r="CC4" s="22">
        <f t="shared" ref="CC4:CC28" si="11">DF4*CB4</f>
        <v>30.709911469777328</v>
      </c>
      <c r="CD4" s="5">
        <f t="shared" ref="CD4:CD27" si="12">0.6*BT4</f>
        <v>116.09999999999998</v>
      </c>
      <c r="CE4" s="67">
        <f>IF($BA$31="d",'Profils de colonie'!K31,IF($BA$31="n",'Profils de colonie'!K59,IF($BA$31="p",'Profils de colonie'!K87,IF($BA$31="a",'Profils de colonie'!K115,IF($BA$31="b",'Profils de colonie'!K143,IF($BA$31="c",'Profils de colonie'!K171,IF($BA$31="r",'Profils de colonie'!K199,IF($BA$31="s",'Profils de colonie'!K199,IF($BA$31="f",'Profils de colonie'!K255,"erreur")))))))))</f>
        <v>0</v>
      </c>
      <c r="CF4" s="87">
        <f>CE4*16/25</f>
        <v>0</v>
      </c>
      <c r="CG4" s="63">
        <f>CF4*$BQ$42</f>
        <v>0</v>
      </c>
      <c r="CH4" s="84">
        <f>CG4*CB4</f>
        <v>0</v>
      </c>
      <c r="CI4" s="60">
        <f t="shared" ref="CI4:CI27" si="13">CG4*CC4</f>
        <v>0</v>
      </c>
      <c r="CJ4" s="61">
        <f>IF(CF4=0,0,CI4/(CD4*CF4))</f>
        <v>0</v>
      </c>
      <c r="CK4" s="266">
        <f>1-(_xlfn.POISSON.DIST(0,CJ4,FALSE))</f>
        <v>0</v>
      </c>
      <c r="CL4" s="267">
        <f>IF(CK4=0,0,CJ4/CK4)</f>
        <v>0</v>
      </c>
      <c r="CM4" s="61">
        <f t="shared" ref="CM4:CM27" si="14">BY4+15</f>
        <v>42.075332443760409</v>
      </c>
      <c r="CN4" s="265">
        <v>1</v>
      </c>
      <c r="CO4" s="71">
        <f t="shared" ref="CO4:CO27" si="15">(1+($BQ$31*CN4))*$BQ$46</f>
        <v>4.2749999999999995</v>
      </c>
      <c r="CP4" s="65">
        <f>LN(CO4)/14.75</f>
        <v>9.8493837450082944E-2</v>
      </c>
      <c r="CQ4" s="85">
        <f>1-CA4-CH4</f>
        <v>0.30709911469777329</v>
      </c>
      <c r="CR4" s="59">
        <f>(1-CF4)*CD4</f>
        <v>116.09999999999998</v>
      </c>
      <c r="CS4" s="59">
        <f t="shared" ref="CS4:CS27" si="16">CC4-CI4</f>
        <v>30.709911469777328</v>
      </c>
      <c r="CT4" s="62">
        <f t="shared" ref="CT4:CT27" si="17">CS4/CR4</f>
        <v>0.26451258802564453</v>
      </c>
      <c r="CU4" s="263">
        <f>1-(_xlfn.POISSON.DIST(0,CT4,FALSE))</f>
        <v>0.23242001350979635</v>
      </c>
      <c r="CV4" s="265">
        <f>CT4/(CU4+0.000001)</f>
        <v>1.1380751853338578</v>
      </c>
      <c r="CW4" s="64">
        <f t="shared" ref="CW4:CW28" si="18">1-CG4</f>
        <v>1</v>
      </c>
      <c r="CX4" s="62">
        <f t="shared" ref="CX4:CX28" si="19">BY4+12</f>
        <v>39.075332443760409</v>
      </c>
      <c r="CY4" s="264">
        <v>1</v>
      </c>
      <c r="CZ4" s="70">
        <f>(1+($BQ$29*CY4))*$BQ$46</f>
        <v>2.2586249999999999</v>
      </c>
      <c r="DA4" s="66">
        <f t="shared" ref="DA4:DA28" si="20">IF(DF4&gt;2*CR4,0,LN(CZ4)/12.5)</f>
        <v>6.518049768398862E-2</v>
      </c>
      <c r="DB4" s="91">
        <f t="shared" ref="DB4:DB28" si="21">(CH4*CP4+CQ4*DA4)</f>
        <v>2.0016873134313166E-2</v>
      </c>
      <c r="DC4" s="23">
        <f t="shared" ref="DC4:DC28" si="22">IF(BU4&gt;0.25,$BW$38,$BW$37)</f>
        <v>-5.0125418235442863E-3</v>
      </c>
      <c r="DD4" s="28">
        <f t="shared" ref="DD4:DD27" si="23">DB4+DC4</f>
        <v>1.5004331310768879E-2</v>
      </c>
      <c r="DE4" s="315"/>
      <c r="DF4" s="86">
        <f>IF(OR($BA$31="n",$BA$31="p"),0,BA32)</f>
        <v>100</v>
      </c>
      <c r="DG4" s="178">
        <f t="shared" ref="DG4:DG27" si="24">DF4*$BQ$30</f>
        <v>70</v>
      </c>
      <c r="DH4" s="177">
        <f>DG4</f>
        <v>70</v>
      </c>
      <c r="DJ4" s="13">
        <f t="shared" ref="DJ4:DJ28" si="25">DF4+DE4</f>
        <v>100</v>
      </c>
      <c r="DK4" s="199">
        <f>DJ4-DL4</f>
        <v>7.3399166893701562</v>
      </c>
      <c r="DL4" s="107">
        <f t="shared" ref="DL4:DL28" si="26">DJ4*EXP((IF(BU4&gt;0.25,$BW$38,$BW$37)*$BQ$36))</f>
        <v>92.660083310629844</v>
      </c>
      <c r="DM4" s="182">
        <f>'Immigration de varroas'!E12</f>
        <v>0</v>
      </c>
      <c r="DN4" s="109"/>
      <c r="DO4" s="176"/>
      <c r="DP4" s="198">
        <f t="shared" ref="DP4:DP28" si="27">DL4+DO4</f>
        <v>92.660083310629844</v>
      </c>
      <c r="DQ4" s="278">
        <f>EK$32</f>
        <v>0</v>
      </c>
      <c r="DR4" s="107">
        <f>DP4*DQ4</f>
        <v>0</v>
      </c>
      <c r="DS4" s="79">
        <f t="shared" ref="DS4:DS27" si="28">DP4-DR4</f>
        <v>92.660083310629844</v>
      </c>
      <c r="DT4" s="23">
        <f t="shared" ref="DT4:DT28" si="29">LN(DS4/DF4)/$BQ$36</f>
        <v>-5.0125418235442759E-3</v>
      </c>
      <c r="DU4" s="158">
        <f t="shared" ref="DU4:DU28" si="30">BA4</f>
        <v>40544</v>
      </c>
      <c r="DV4" s="74">
        <f t="shared" ref="DV4:DV28" si="31">DF4*CA4</f>
        <v>69.290088530222675</v>
      </c>
      <c r="DW4" s="23">
        <f t="shared" ref="DW4:DW28" si="32">IF(BR4=0,0.001,DV4/BR4)</f>
        <v>4.3306305331389169E-3</v>
      </c>
      <c r="DX4" s="114">
        <f t="shared" ref="DX4:DX27" si="33">DW4*315</f>
        <v>1.3641486179387587</v>
      </c>
      <c r="DY4" s="75"/>
      <c r="DZ4" s="75"/>
      <c r="EA4" s="75"/>
      <c r="EB4" s="75"/>
      <c r="EC4" s="75"/>
      <c r="ED4" s="75"/>
      <c r="EG4" s="175"/>
      <c r="EH4" s="196"/>
      <c r="EJ4" s="261">
        <f>DF4</f>
        <v>100</v>
      </c>
      <c r="EK4" s="130">
        <v>0</v>
      </c>
      <c r="EL4" s="262">
        <v>0.5</v>
      </c>
      <c r="EP4" s="2">
        <v>40544</v>
      </c>
      <c r="EQ4" s="193">
        <v>42917</v>
      </c>
      <c r="ER4" s="14"/>
      <c r="ES4" s="17"/>
      <c r="EU4" s="14"/>
      <c r="EV4" s="31"/>
      <c r="FT4" s="14"/>
    </row>
    <row r="5" spans="1:176" ht="16" customHeight="1">
      <c r="B5" s="284"/>
      <c r="AD5" s="323"/>
      <c r="AE5" s="288">
        <f t="shared" ref="AE5:AE28" si="34">BA5</f>
        <v>40558</v>
      </c>
      <c r="AF5" s="282"/>
      <c r="AZ5" s="374"/>
      <c r="BA5" s="288">
        <f t="shared" ref="BA5:BA28" si="35">IF($AB$20="x", EQ5,EP5)</f>
        <v>40558</v>
      </c>
      <c r="BB5" s="48">
        <f t="shared" si="0"/>
        <v>92.660083310629844</v>
      </c>
      <c r="BC5" s="222">
        <f t="shared" ref="BC5:BC27" si="36">IF(EB5&gt;0,"",DT5)</f>
        <v>-5.3658864116437593E-3</v>
      </c>
      <c r="BD5" s="173">
        <f t="shared" si="1"/>
        <v>0</v>
      </c>
      <c r="BE5" s="99">
        <f t="shared" ref="BE5:BE27" si="37">IF(EB5&gt;0,"",DX5)</f>
        <v>1.8242453901780251</v>
      </c>
      <c r="BF5" s="4" t="str">
        <f t="shared" si="2"/>
        <v>s.o.</v>
      </c>
      <c r="BG5" s="3">
        <f t="shared" si="3"/>
        <v>1</v>
      </c>
      <c r="BH5" s="381">
        <v>95</v>
      </c>
      <c r="BI5" s="394" t="s">
        <v>99</v>
      </c>
      <c r="BJ5" s="395"/>
      <c r="BK5" s="395"/>
      <c r="BL5" s="395"/>
      <c r="BM5" s="396"/>
      <c r="BP5" s="158">
        <f t="shared" ref="BP5:BP28" si="38">BA5</f>
        <v>40558</v>
      </c>
      <c r="BQ5" s="373">
        <f>IF($BA$31="d",'Profils de colonie'!I32,IF($BA$31="n",'Profils de colonie'!I60,IF($BA$31="p",'Profils de colonie'!I88,IF($BA$31="a",'Profils de colonie'!I116,IF($BA$31="b",'Profils de colonie'!I144,IF($BA$31="c",'Profils de colonie'!I172,IF($BA$31="r",'Profils de colonie'!I200,IF($BA$31="s",'Profils de colonie'!I228,IF($BA$31="f",'Profils de colonie'!I256,"erreur")))))))))</f>
        <v>8</v>
      </c>
      <c r="BR5">
        <f t="shared" si="4"/>
        <v>16000</v>
      </c>
      <c r="BS5" s="68">
        <f>IF($BA$31="d",'Profils de colonie'!G32,IF($BA$31="n",'Profils de colonie'!G60,IF($BA$31="p",'Profils de colonie'!G88,IF($BA$31="a",'Profils de colonie'!G116,IF($BA$31="b",'Profils de colonie'!G144,IF($BA$31="c",'Profils de colonie'!G172,IF($BA$31="r",'Profils de colonie'!G200,IF($BA$31="s",'Profils de colonie'!G228,IF($BA$31="f",'Profils de colonie'!G256,"erreur")))))))))</f>
        <v>0</v>
      </c>
      <c r="BT5" s="13">
        <f t="shared" si="5"/>
        <v>1</v>
      </c>
      <c r="BU5" s="17">
        <f t="shared" si="6"/>
        <v>6.2500000000000001E-5</v>
      </c>
      <c r="BV5">
        <f t="shared" ref="BV5:BV27" si="39">BT5*12/20</f>
        <v>0.6</v>
      </c>
      <c r="BW5" s="14">
        <f t="shared" ref="BW5:BW27" si="40">CU5*BV5</f>
        <v>0</v>
      </c>
      <c r="BX5" s="14">
        <f t="shared" si="7"/>
        <v>0.05</v>
      </c>
      <c r="BY5" s="89">
        <f t="shared" ref="BY5:BY27" si="41">IF(BU5=0,0.001,(-$BQ$42*LN(BU5))+$BQ$41)</f>
        <v>53.401720006109592</v>
      </c>
      <c r="BZ5" s="21">
        <f t="shared" si="8"/>
        <v>65.401720006109599</v>
      </c>
      <c r="CA5" s="26">
        <f t="shared" si="9"/>
        <v>1</v>
      </c>
      <c r="CB5" s="103">
        <f t="shared" si="10"/>
        <v>0</v>
      </c>
      <c r="CC5" s="22">
        <f t="shared" si="11"/>
        <v>0</v>
      </c>
      <c r="CD5" s="5">
        <f t="shared" si="12"/>
        <v>0.6</v>
      </c>
      <c r="CE5" s="67">
        <f>IF($BA$31="d",'Profils de colonie'!K32,IF($BA$31="n",'Profils de colonie'!K60,IF($BA$31="p",'Profils de colonie'!K88,IF($BA$31="a",'Profils de colonie'!K116,IF($BA$31="b",'Profils de colonie'!K144,IF($BA$31="c",'Profils de colonie'!K172,IF($BA$31="r",'Profils de colonie'!K200,IF($BA$31="s",'Profils de colonie'!K200,IF($BA$31="f",'Profils de colonie'!K256,"erreur")))))))))</f>
        <v>0</v>
      </c>
      <c r="CF5" s="87">
        <f t="shared" ref="CF5:CF28" si="42">CE5*16/25</f>
        <v>0</v>
      </c>
      <c r="CG5" s="63">
        <f t="shared" ref="CG5:CG28" si="43">CF5*$BQ$42</f>
        <v>0</v>
      </c>
      <c r="CH5" s="84">
        <f t="shared" ref="CH5:CH27" si="44">CG5*CB5</f>
        <v>0</v>
      </c>
      <c r="CI5" s="60">
        <f t="shared" si="13"/>
        <v>0</v>
      </c>
      <c r="CJ5" s="61">
        <f t="shared" ref="CJ5:CJ27" si="45">IF(CF5=0,0,CI5/(CD5*CF5))</f>
        <v>0</v>
      </c>
      <c r="CK5" s="266">
        <f t="shared" ref="CK5:CK28" si="46">1-(_xlfn.POISSON.DIST(0,CJ5,FALSE))</f>
        <v>0</v>
      </c>
      <c r="CL5" s="267">
        <f t="shared" ref="CL5:CL27" si="47">IF(CK5=0,0,CJ5/CK5)</f>
        <v>0</v>
      </c>
      <c r="CM5" s="61">
        <f t="shared" si="14"/>
        <v>68.401720006109599</v>
      </c>
      <c r="CN5" s="265">
        <v>1</v>
      </c>
      <c r="CO5" s="71">
        <f t="shared" si="15"/>
        <v>4.2749999999999995</v>
      </c>
      <c r="CP5" s="65">
        <f t="shared" ref="CP5:CP27" si="48">LN(CO5)/14.75</f>
        <v>9.8493837450082944E-2</v>
      </c>
      <c r="CQ5" s="85">
        <f t="shared" ref="CQ5:CQ27" si="49">1-CA5-CH5</f>
        <v>0</v>
      </c>
      <c r="CR5" s="59">
        <f t="shared" ref="CR5:CR27" si="50">(1-CF5)*CD5</f>
        <v>0.6</v>
      </c>
      <c r="CS5" s="59">
        <f>CC5-CI5</f>
        <v>0</v>
      </c>
      <c r="CT5" s="62">
        <f t="shared" si="17"/>
        <v>0</v>
      </c>
      <c r="CU5" s="263">
        <f t="shared" ref="CU5:CU28" si="51">1-(_xlfn.POISSON.DIST(0,CT5,FALSE))</f>
        <v>0</v>
      </c>
      <c r="CV5" s="265">
        <f t="shared" ref="CV5:CV28" si="52">CT5/(CU5+0.000001)</f>
        <v>0</v>
      </c>
      <c r="CW5" s="64">
        <f t="shared" si="18"/>
        <v>1</v>
      </c>
      <c r="CX5" s="62">
        <f t="shared" si="19"/>
        <v>65.401720006109599</v>
      </c>
      <c r="CY5" s="264">
        <v>1</v>
      </c>
      <c r="CZ5" s="70">
        <f t="shared" ref="CZ5:CZ28" si="53">(1+($BQ$29*CY5))*$BQ$46</f>
        <v>2.2586249999999999</v>
      </c>
      <c r="DA5" s="66">
        <f t="shared" si="20"/>
        <v>0</v>
      </c>
      <c r="DB5" s="91">
        <f t="shared" si="21"/>
        <v>0</v>
      </c>
      <c r="DC5" s="23">
        <f t="shared" si="22"/>
        <v>-5.0125418235442863E-3</v>
      </c>
      <c r="DD5" s="28">
        <f t="shared" si="23"/>
        <v>-5.0125418235442863E-3</v>
      </c>
      <c r="DE5" s="315">
        <f t="shared" ref="DE5:DE28" si="54">IF(AD5="B",0,DH5*EXP(DB5*$BQ$36)-DH5)</f>
        <v>0</v>
      </c>
      <c r="DF5" s="270">
        <f>IF(OR($BA$31="n",$BA$31="p"),0,DS4)</f>
        <v>92.660083310629844</v>
      </c>
      <c r="DG5" s="178">
        <f t="shared" si="24"/>
        <v>64.862058317440884</v>
      </c>
      <c r="DH5" s="178">
        <f>DG5*(1-EL4)</f>
        <v>32.431029158720442</v>
      </c>
      <c r="DJ5" s="13">
        <f t="shared" si="25"/>
        <v>92.660083310629844</v>
      </c>
      <c r="DK5" s="199">
        <f t="shared" ref="DK5:DK27" si="55">DJ5-DL5</f>
        <v>6.8011729193012229</v>
      </c>
      <c r="DL5" s="107">
        <f t="shared" si="26"/>
        <v>85.858910391328621</v>
      </c>
      <c r="DM5" s="182">
        <f>'Immigration de varroas'!E13</f>
        <v>0</v>
      </c>
      <c r="DN5" s="109">
        <f t="shared" ref="DN5:DN27" si="56">IF(EH5&gt;DV5*EG5,-DV5*EG5,-EH5)</f>
        <v>-0.46014961176713731</v>
      </c>
      <c r="DO5" s="82">
        <f>DM5+DN5</f>
        <v>-0.46014961176713731</v>
      </c>
      <c r="DP5" s="198">
        <f t="shared" si="27"/>
        <v>85.398760779561485</v>
      </c>
      <c r="DQ5" s="278">
        <f>EL$32</f>
        <v>0</v>
      </c>
      <c r="DR5" s="107">
        <f t="shared" ref="DR5:DR27" si="57">DP5*DQ5</f>
        <v>0</v>
      </c>
      <c r="DS5" s="79">
        <f t="shared" si="28"/>
        <v>85.398760779561485</v>
      </c>
      <c r="DT5" s="23">
        <f t="shared" si="29"/>
        <v>-5.3658864116437593E-3</v>
      </c>
      <c r="DU5" s="158">
        <f t="shared" si="30"/>
        <v>40558</v>
      </c>
      <c r="DV5" s="74">
        <f t="shared" si="31"/>
        <v>92.660083310629844</v>
      </c>
      <c r="DW5" s="23">
        <f t="shared" si="32"/>
        <v>5.7912552069143653E-3</v>
      </c>
      <c r="DX5" s="114">
        <f t="shared" si="33"/>
        <v>1.8242453901780251</v>
      </c>
      <c r="DY5" s="75"/>
      <c r="DZ5" s="75"/>
      <c r="EA5" s="75"/>
      <c r="EB5" s="75"/>
      <c r="EC5" s="13">
        <f t="shared" ref="EC5:EC28" si="58">BT4*0.9/20*$BQ$36</f>
        <v>132.42656249999999</v>
      </c>
      <c r="ED5" s="14">
        <f t="shared" ref="ED5:ED28" si="59">BR5-BR4</f>
        <v>0</v>
      </c>
      <c r="EE5" s="13">
        <f t="shared" ref="EE5:EE27" si="60">EC5-ED5</f>
        <v>132.42656249999999</v>
      </c>
      <c r="EF5" s="13">
        <f>EE5/$BQ$36</f>
        <v>8.7074999999999996</v>
      </c>
      <c r="EG5" s="17">
        <f t="shared" ref="EG5:EG27" si="61">IF(DW5&gt;0.15,1,$BQ$35)</f>
        <v>0.6</v>
      </c>
      <c r="EH5" s="197">
        <f t="shared" ref="EH5:EH27" si="62">EE5*EG5*DW5</f>
        <v>0.46014961176713731</v>
      </c>
      <c r="EJ5" s="13">
        <f t="shared" ref="EJ5:EJ28" si="63">DE5</f>
        <v>0</v>
      </c>
      <c r="EK5" s="130">
        <v>0</v>
      </c>
      <c r="EL5" s="31">
        <f>EK$59</f>
        <v>0</v>
      </c>
      <c r="EP5" s="2">
        <v>40558</v>
      </c>
      <c r="EQ5" s="193">
        <v>42931</v>
      </c>
      <c r="ER5" s="14"/>
      <c r="ES5" s="17"/>
      <c r="ET5">
        <v>5.67</v>
      </c>
      <c r="EU5" s="14"/>
      <c r="EV5" s="31"/>
      <c r="EW5" s="14"/>
      <c r="EX5" s="14"/>
      <c r="EY5" s="14"/>
      <c r="EZ5" s="14"/>
      <c r="FA5" s="14"/>
      <c r="FB5" s="14"/>
      <c r="FC5" s="14"/>
      <c r="FD5" s="14"/>
      <c r="FE5" s="14"/>
      <c r="FF5" s="14"/>
      <c r="FG5" s="14"/>
      <c r="FH5" s="14"/>
      <c r="FI5" s="14"/>
      <c r="FJ5" s="14"/>
      <c r="FK5" s="14"/>
      <c r="FL5" s="14"/>
      <c r="FM5" s="14"/>
    </row>
    <row r="6" spans="1:176" ht="16.19" customHeight="1">
      <c r="B6" s="284"/>
      <c r="AD6" s="323"/>
      <c r="AE6" s="288">
        <f t="shared" si="34"/>
        <v>40575</v>
      </c>
      <c r="AF6" s="282"/>
      <c r="AZ6" s="374"/>
      <c r="BA6" s="288">
        <f t="shared" si="35"/>
        <v>40575</v>
      </c>
      <c r="BB6" s="48">
        <f t="shared" si="0"/>
        <v>85.398760779561485</v>
      </c>
      <c r="BC6" s="222">
        <f t="shared" si="36"/>
        <v>-5.0143630213130364E-3</v>
      </c>
      <c r="BD6" s="173">
        <f t="shared" si="1"/>
        <v>0</v>
      </c>
      <c r="BE6" s="99">
        <f t="shared" si="37"/>
        <v>1.6812881028476168</v>
      </c>
      <c r="BF6" s="4" t="str">
        <f t="shared" si="2"/>
        <v>s.o.</v>
      </c>
      <c r="BG6" s="3">
        <f t="shared" si="3"/>
        <v>1</v>
      </c>
      <c r="BH6" s="380"/>
      <c r="BI6" s="397"/>
      <c r="BJ6" s="398"/>
      <c r="BK6" s="398"/>
      <c r="BL6" s="398"/>
      <c r="BM6" s="399"/>
      <c r="BP6" s="158">
        <f t="shared" si="38"/>
        <v>40575</v>
      </c>
      <c r="BQ6" s="373">
        <f>IF($BA$31="d",'Profils de colonie'!I33,IF($BA$31="n",'Profils de colonie'!I61,IF($BA$31="p",'Profils de colonie'!I89,IF($BA$31="a",'Profils de colonie'!I117,IF($BA$31="b",'Profils de colonie'!I145,IF($BA$31="c",'Profils de colonie'!I173,IF($BA$31="r",'Profils de colonie'!I201,IF($BA$31="s",'Profils de colonie'!I229,IF($BA$31="f",'Profils de colonie'!I257,"erreur")))))))))</f>
        <v>8</v>
      </c>
      <c r="BR6">
        <f t="shared" si="4"/>
        <v>16000</v>
      </c>
      <c r="BS6" s="68">
        <f>IF($BA$31="d",'Profils de colonie'!G33,IF($BA$31="n",'Profils de colonie'!G61,IF($BA$31="p",'Profils de colonie'!G89,IF($BA$31="a",'Profils de colonie'!G117,IF($BA$31="b",'Profils de colonie'!G145,IF($BA$31="c",'Profils de colonie'!G173,IF($BA$31="r",'Profils de colonie'!G201,IF($BA$31="s",'Profils de colonie'!G229,IF($BA$31="f",'Profils de colonie'!G257,"erreur")))))))))</f>
        <v>0</v>
      </c>
      <c r="BT6" s="13">
        <f t="shared" si="5"/>
        <v>1</v>
      </c>
      <c r="BU6" s="17">
        <f t="shared" si="6"/>
        <v>6.2500000000000001E-5</v>
      </c>
      <c r="BV6">
        <f t="shared" si="39"/>
        <v>0.6</v>
      </c>
      <c r="BW6" s="14">
        <f t="shared" si="40"/>
        <v>0</v>
      </c>
      <c r="BX6" s="14">
        <f t="shared" si="7"/>
        <v>0.05</v>
      </c>
      <c r="BY6" s="89">
        <f t="shared" si="41"/>
        <v>53.401720006109592</v>
      </c>
      <c r="BZ6" s="21">
        <f t="shared" si="8"/>
        <v>65.401720006109599</v>
      </c>
      <c r="CA6" s="26">
        <f t="shared" si="9"/>
        <v>1</v>
      </c>
      <c r="CB6" s="103">
        <f t="shared" si="10"/>
        <v>0</v>
      </c>
      <c r="CC6" s="22">
        <f t="shared" si="11"/>
        <v>0</v>
      </c>
      <c r="CD6" s="5">
        <f t="shared" si="12"/>
        <v>0.6</v>
      </c>
      <c r="CE6" s="67">
        <f>IF($BA$31="d",'Profils de colonie'!K33,IF($BA$31="n",'Profils de colonie'!K61,IF($BA$31="p",'Profils de colonie'!K89,IF($BA$31="a",'Profils de colonie'!K117,IF($BA$31="b",'Profils de colonie'!K145,IF($BA$31="c",'Profils de colonie'!K173,IF($BA$31="r",'Profils de colonie'!K201,IF($BA$31="s",'Profils de colonie'!K201,IF($BA$31="f",'Profils de colonie'!K257,"erreur")))))))))</f>
        <v>0</v>
      </c>
      <c r="CF6" s="87">
        <f t="shared" si="42"/>
        <v>0</v>
      </c>
      <c r="CG6" s="63">
        <f t="shared" si="43"/>
        <v>0</v>
      </c>
      <c r="CH6" s="84">
        <f t="shared" si="44"/>
        <v>0</v>
      </c>
      <c r="CI6" s="60">
        <f t="shared" si="13"/>
        <v>0</v>
      </c>
      <c r="CJ6" s="61">
        <f t="shared" si="45"/>
        <v>0</v>
      </c>
      <c r="CK6" s="266">
        <f t="shared" si="46"/>
        <v>0</v>
      </c>
      <c r="CL6" s="267">
        <f t="shared" si="47"/>
        <v>0</v>
      </c>
      <c r="CM6" s="61">
        <f t="shared" si="14"/>
        <v>68.401720006109599</v>
      </c>
      <c r="CN6" s="265">
        <v>1</v>
      </c>
      <c r="CO6" s="71">
        <f t="shared" si="15"/>
        <v>4.2749999999999995</v>
      </c>
      <c r="CP6" s="65">
        <f t="shared" si="48"/>
        <v>9.8493837450082944E-2</v>
      </c>
      <c r="CQ6" s="85">
        <f t="shared" si="49"/>
        <v>0</v>
      </c>
      <c r="CR6" s="59">
        <f t="shared" si="50"/>
        <v>0.6</v>
      </c>
      <c r="CS6" s="59">
        <f t="shared" si="16"/>
        <v>0</v>
      </c>
      <c r="CT6" s="62">
        <f t="shared" si="17"/>
        <v>0</v>
      </c>
      <c r="CU6" s="263">
        <f t="shared" si="51"/>
        <v>0</v>
      </c>
      <c r="CV6" s="265">
        <f t="shared" si="52"/>
        <v>0</v>
      </c>
      <c r="CW6" s="64">
        <f t="shared" si="18"/>
        <v>1</v>
      </c>
      <c r="CX6" s="62">
        <f t="shared" si="19"/>
        <v>65.401720006109599</v>
      </c>
      <c r="CY6" s="264">
        <v>1</v>
      </c>
      <c r="CZ6" s="70">
        <f t="shared" si="53"/>
        <v>2.2586249999999999</v>
      </c>
      <c r="DA6" s="66">
        <f t="shared" si="20"/>
        <v>0</v>
      </c>
      <c r="DB6" s="91">
        <f t="shared" si="21"/>
        <v>0</v>
      </c>
      <c r="DC6" s="23">
        <f t="shared" si="22"/>
        <v>-5.0125418235442863E-3</v>
      </c>
      <c r="DD6" s="28">
        <f t="shared" si="23"/>
        <v>-5.0125418235442863E-3</v>
      </c>
      <c r="DE6" s="315">
        <f t="shared" si="54"/>
        <v>0</v>
      </c>
      <c r="DF6" s="270">
        <f>IF(OR($BA$31="n",$BA$31="p"),0,DS5)</f>
        <v>85.398760779561485</v>
      </c>
      <c r="DG6" s="178">
        <f t="shared" si="24"/>
        <v>59.779132545693038</v>
      </c>
      <c r="DH6" s="178">
        <f>DG6*(1-EL5)</f>
        <v>59.779132545693038</v>
      </c>
      <c r="DJ6" s="13">
        <f t="shared" si="25"/>
        <v>85.398760779561485</v>
      </c>
      <c r="DK6" s="199">
        <f t="shared" si="55"/>
        <v>6.2681978949743353</v>
      </c>
      <c r="DL6" s="107">
        <f t="shared" si="26"/>
        <v>79.13056288458715</v>
      </c>
      <c r="DM6" s="182">
        <f>'Immigration de varroas'!E14</f>
        <v>0</v>
      </c>
      <c r="DN6" s="109">
        <f t="shared" si="56"/>
        <v>-2.1916791340692147E-3</v>
      </c>
      <c r="DO6" s="82">
        <f t="shared" ref="DO6:DO27" si="64">DM6+DN6</f>
        <v>-2.1916791340692147E-3</v>
      </c>
      <c r="DP6" s="198">
        <f t="shared" si="27"/>
        <v>79.128371205453078</v>
      </c>
      <c r="DQ6" s="278">
        <f>EM$32</f>
        <v>0</v>
      </c>
      <c r="DR6" s="107">
        <f t="shared" si="57"/>
        <v>0</v>
      </c>
      <c r="DS6" s="79">
        <f t="shared" si="28"/>
        <v>79.128371205453078</v>
      </c>
      <c r="DT6" s="23">
        <f t="shared" si="29"/>
        <v>-5.0143630213130364E-3</v>
      </c>
      <c r="DU6" s="158">
        <f t="shared" si="30"/>
        <v>40575</v>
      </c>
      <c r="DV6" s="74">
        <f t="shared" si="31"/>
        <v>85.398760779561485</v>
      </c>
      <c r="DW6" s="23">
        <f t="shared" si="32"/>
        <v>5.3374225487225931E-3</v>
      </c>
      <c r="DX6" s="114">
        <f t="shared" si="33"/>
        <v>1.6812881028476168</v>
      </c>
      <c r="DY6" t="str">
        <f t="shared" ref="DY6:DY28" si="65">IF(DY5=100,100,IF(CU4&gt;$BQ$37,100,""))</f>
        <v/>
      </c>
      <c r="DZ6" t="str">
        <f t="shared" ref="DZ6:DZ28" si="66">IF(DZ5=100,100,IF(BT6&lt;100,IF(DW6&gt;$BQ$38,100,""),""))</f>
        <v/>
      </c>
      <c r="EB6">
        <f>SUM(DY6:EA6)</f>
        <v>0</v>
      </c>
      <c r="EC6" s="13">
        <f t="shared" si="58"/>
        <v>0.68437499999999996</v>
      </c>
      <c r="ED6" s="14">
        <f t="shared" si="59"/>
        <v>0</v>
      </c>
      <c r="EE6" s="13">
        <f t="shared" si="60"/>
        <v>0.68437499999999996</v>
      </c>
      <c r="EF6" s="13">
        <f t="shared" ref="EF6:EF28" si="67">EE6/$BQ$36</f>
        <v>4.4999999999999998E-2</v>
      </c>
      <c r="EG6" s="17">
        <f t="shared" si="61"/>
        <v>0.6</v>
      </c>
      <c r="EH6" s="197">
        <f t="shared" si="62"/>
        <v>2.1916791340692147E-3</v>
      </c>
      <c r="EJ6" s="13">
        <f t="shared" si="63"/>
        <v>0</v>
      </c>
      <c r="EK6" s="130">
        <v>0</v>
      </c>
      <c r="EL6" s="31">
        <f>EL$59</f>
        <v>0</v>
      </c>
      <c r="EP6" s="2">
        <v>40575</v>
      </c>
      <c r="EQ6" s="193">
        <v>42948</v>
      </c>
      <c r="ER6" s="14"/>
      <c r="ES6" s="17"/>
      <c r="EU6" s="14"/>
      <c r="EV6" s="31"/>
      <c r="EW6" s="14"/>
      <c r="EX6" s="14"/>
      <c r="EY6" s="14"/>
      <c r="EZ6" s="14"/>
      <c r="FA6" s="14"/>
      <c r="FB6" s="14"/>
      <c r="FC6" s="14"/>
      <c r="FD6" s="14"/>
      <c r="FE6" s="14"/>
      <c r="FF6" s="14"/>
      <c r="FG6" s="14"/>
      <c r="FH6" s="14"/>
      <c r="FI6" s="14"/>
      <c r="FJ6" s="14"/>
      <c r="FK6" s="14"/>
      <c r="FL6" s="14"/>
      <c r="FM6" s="14"/>
    </row>
    <row r="7" spans="1:176" ht="16" customHeight="1">
      <c r="B7" s="284"/>
      <c r="AD7" s="323"/>
      <c r="AE7" s="288">
        <f t="shared" si="34"/>
        <v>40589</v>
      </c>
      <c r="AF7" s="282"/>
      <c r="AZ7" s="374"/>
      <c r="BA7" s="288">
        <f t="shared" si="35"/>
        <v>40589</v>
      </c>
      <c r="BB7" s="48">
        <f t="shared" si="0"/>
        <v>79.128371205453078</v>
      </c>
      <c r="BC7" s="222">
        <f t="shared" si="36"/>
        <v>9.6110138425129828E-3</v>
      </c>
      <c r="BD7" s="173">
        <f t="shared" si="1"/>
        <v>0</v>
      </c>
      <c r="BE7" s="99">
        <f>IF(EB7&gt;0,"",DX7)</f>
        <v>1.079428582196639</v>
      </c>
      <c r="BF7" s="4">
        <f t="shared" si="2"/>
        <v>0.18885179865203661</v>
      </c>
      <c r="BG7" s="3">
        <f t="shared" si="3"/>
        <v>0.69290088530222671</v>
      </c>
      <c r="BH7" s="381">
        <v>90</v>
      </c>
      <c r="BI7" s="378" t="s">
        <v>100</v>
      </c>
      <c r="BJ7" s="378"/>
      <c r="BK7" s="378"/>
      <c r="BL7" s="378"/>
      <c r="BM7" s="378"/>
      <c r="BP7" s="158">
        <f t="shared" si="38"/>
        <v>40589</v>
      </c>
      <c r="BQ7" s="373">
        <f>IF($BA$31="d",'Profils de colonie'!I34,IF($BA$31="n",'Profils de colonie'!I62,IF($BA$31="p",'Profils de colonie'!I90,IF($BA$31="a",'Profils de colonie'!I118,IF($BA$31="b",'Profils de colonie'!I146,IF($BA$31="c",'Profils de colonie'!I174,IF($BA$31="r",'Profils de colonie'!I202,IF($BA$31="s",'Profils de colonie'!I230,IF($BA$31="f",'Profils de colonie'!I258,"erreur")))))))))</f>
        <v>8</v>
      </c>
      <c r="BR7">
        <f t="shared" si="4"/>
        <v>16000</v>
      </c>
      <c r="BS7" s="68">
        <f>IF($BA$31="d",'Profils de colonie'!G34,IF($BA$31="n",'Profils de colonie'!G62,IF($BA$31="p",'Profils de colonie'!G90,IF($BA$31="a",'Profils de colonie'!G118,IF($BA$31="b",'Profils de colonie'!G146,IF($BA$31="c",'Profils de colonie'!G174,IF($BA$31="r",'Profils de colonie'!G202,IF($BA$31="s",'Profils de colonie'!G230,IF($BA$31="f",'Profils de colonie'!G258,"erreur")))))))))</f>
        <v>4.2999999999999997E-2</v>
      </c>
      <c r="BT7" s="13">
        <f t="shared" si="5"/>
        <v>193.49999999999997</v>
      </c>
      <c r="BU7" s="17">
        <f t="shared" si="6"/>
        <v>1.2093749999999999E-2</v>
      </c>
      <c r="BV7">
        <f t="shared" si="39"/>
        <v>116.09999999999998</v>
      </c>
      <c r="BW7" s="14">
        <f t="shared" si="40"/>
        <v>21.925693823501447</v>
      </c>
      <c r="BX7" s="14">
        <f t="shared" si="7"/>
        <v>9.6749999999999989</v>
      </c>
      <c r="BY7" s="89">
        <f t="shared" si="41"/>
        <v>27.075332443760409</v>
      </c>
      <c r="BZ7" s="21">
        <f t="shared" si="8"/>
        <v>39.075332443760409</v>
      </c>
      <c r="CA7" s="26">
        <f t="shared" si="9"/>
        <v>0.69290088530222671</v>
      </c>
      <c r="CB7" s="103">
        <f t="shared" si="10"/>
        <v>0.30709911469777329</v>
      </c>
      <c r="CC7" s="22">
        <f t="shared" si="11"/>
        <v>24.300252744671415</v>
      </c>
      <c r="CD7" s="5">
        <f t="shared" si="12"/>
        <v>116.09999999999998</v>
      </c>
      <c r="CE7" s="67">
        <f>IF($BA$31="d",'Profils de colonie'!K34,IF($BA$31="n",'Profils de colonie'!K62,IF($BA$31="p",'Profils de colonie'!K90,IF($BA$31="a",'Profils de colonie'!K118,IF($BA$31="b",'Profils de colonie'!K146,IF($BA$31="c",'Profils de colonie'!K174,IF($BA$31="r",'Profils de colonie'!K202,IF($BA$31="s",'Profils de colonie'!K202,IF($BA$31="f",'Profils de colonie'!K258,"erreur")))))))))</f>
        <v>0</v>
      </c>
      <c r="CF7" s="87">
        <f t="shared" si="42"/>
        <v>0</v>
      </c>
      <c r="CG7" s="63">
        <f t="shared" si="43"/>
        <v>0</v>
      </c>
      <c r="CH7" s="84">
        <f t="shared" si="44"/>
        <v>0</v>
      </c>
      <c r="CI7" s="60">
        <f t="shared" si="13"/>
        <v>0</v>
      </c>
      <c r="CJ7" s="61">
        <f t="shared" si="45"/>
        <v>0</v>
      </c>
      <c r="CK7" s="266">
        <f t="shared" si="46"/>
        <v>0</v>
      </c>
      <c r="CL7" s="267">
        <f t="shared" si="47"/>
        <v>0</v>
      </c>
      <c r="CM7" s="61">
        <f t="shared" si="14"/>
        <v>42.075332443760409</v>
      </c>
      <c r="CN7" s="265">
        <v>1</v>
      </c>
      <c r="CO7" s="71">
        <f t="shared" si="15"/>
        <v>4.2749999999999995</v>
      </c>
      <c r="CP7" s="65">
        <f t="shared" si="48"/>
        <v>9.8493837450082944E-2</v>
      </c>
      <c r="CQ7" s="85">
        <f t="shared" si="49"/>
        <v>0.30709911469777329</v>
      </c>
      <c r="CR7" s="59">
        <f t="shared" si="50"/>
        <v>116.09999999999998</v>
      </c>
      <c r="CS7" s="59">
        <f t="shared" si="16"/>
        <v>24.300252744671415</v>
      </c>
      <c r="CT7" s="62">
        <f t="shared" si="17"/>
        <v>0.20930450253808286</v>
      </c>
      <c r="CU7" s="263">
        <f t="shared" si="51"/>
        <v>0.18885179865203661</v>
      </c>
      <c r="CV7" s="265">
        <f t="shared" si="52"/>
        <v>1.1082944178324239</v>
      </c>
      <c r="CW7" s="64">
        <f t="shared" si="18"/>
        <v>1</v>
      </c>
      <c r="CX7" s="62">
        <f t="shared" si="19"/>
        <v>39.075332443760409</v>
      </c>
      <c r="CY7" s="264">
        <v>1</v>
      </c>
      <c r="CZ7" s="70">
        <f t="shared" si="53"/>
        <v>2.2586249999999999</v>
      </c>
      <c r="DA7" s="66">
        <f t="shared" si="20"/>
        <v>6.518049768398862E-2</v>
      </c>
      <c r="DB7" s="91">
        <f t="shared" si="21"/>
        <v>2.0016873134313166E-2</v>
      </c>
      <c r="DC7" s="23">
        <f t="shared" si="22"/>
        <v>-5.0125418235442863E-3</v>
      </c>
      <c r="DD7" s="28">
        <f t="shared" si="23"/>
        <v>1.5004331310768879E-2</v>
      </c>
      <c r="DE7" s="315">
        <f t="shared" si="54"/>
        <v>19.710084720211725</v>
      </c>
      <c r="DF7" s="270">
        <f>IF(OR($BA$31="n",$BA$31="p"),0,DS6)</f>
        <v>79.128371205453078</v>
      </c>
      <c r="DG7" s="178">
        <f t="shared" si="24"/>
        <v>55.389859843817149</v>
      </c>
      <c r="DH7" s="178">
        <f>DG7*(1-EL6)</f>
        <v>55.389859843817149</v>
      </c>
      <c r="DJ7" s="13">
        <f t="shared" si="25"/>
        <v>98.838455925664803</v>
      </c>
      <c r="DK7" s="199">
        <f t="shared" si="55"/>
        <v>7.2546603220036445</v>
      </c>
      <c r="DL7" s="107">
        <f t="shared" si="26"/>
        <v>91.583795603661159</v>
      </c>
      <c r="DM7" s="182">
        <f>'Immigration de varroas'!E15</f>
        <v>0</v>
      </c>
      <c r="DN7" s="109">
        <f t="shared" si="56"/>
        <v>-1.4071122589349042E-3</v>
      </c>
      <c r="DO7" s="82">
        <f t="shared" si="64"/>
        <v>-1.4071122589349042E-3</v>
      </c>
      <c r="DP7" s="198">
        <f t="shared" si="27"/>
        <v>91.582388491402227</v>
      </c>
      <c r="DQ7" s="278">
        <f>EN$32</f>
        <v>0</v>
      </c>
      <c r="DR7" s="107">
        <f t="shared" si="57"/>
        <v>0</v>
      </c>
      <c r="DS7" s="79">
        <f t="shared" si="28"/>
        <v>91.582388491402227</v>
      </c>
      <c r="DT7" s="23">
        <f t="shared" si="29"/>
        <v>9.6110138425129828E-3</v>
      </c>
      <c r="DU7" s="158">
        <f t="shared" si="30"/>
        <v>40589</v>
      </c>
      <c r="DV7" s="74">
        <f t="shared" si="31"/>
        <v>54.82811846078166</v>
      </c>
      <c r="DW7" s="23">
        <f t="shared" si="32"/>
        <v>3.4267574037988536E-3</v>
      </c>
      <c r="DX7" s="114">
        <f t="shared" si="33"/>
        <v>1.079428582196639</v>
      </c>
      <c r="DY7" t="str">
        <f t="shared" si="65"/>
        <v/>
      </c>
      <c r="DZ7" t="str">
        <f t="shared" si="66"/>
        <v/>
      </c>
      <c r="EB7">
        <f t="shared" ref="EB7:EB28" si="68">SUM(DY7:EA7)</f>
        <v>0</v>
      </c>
      <c r="EC7" s="13">
        <f t="shared" si="58"/>
        <v>0.68437499999999996</v>
      </c>
      <c r="ED7" s="14">
        <f t="shared" si="59"/>
        <v>0</v>
      </c>
      <c r="EE7" s="13">
        <f t="shared" si="60"/>
        <v>0.68437499999999996</v>
      </c>
      <c r="EF7" s="13">
        <f t="shared" si="67"/>
        <v>4.4999999999999998E-2</v>
      </c>
      <c r="EG7" s="17">
        <f t="shared" si="61"/>
        <v>0.6</v>
      </c>
      <c r="EH7" s="197">
        <f t="shared" si="62"/>
        <v>1.4071122589349042E-3</v>
      </c>
      <c r="EJ7" s="13">
        <f t="shared" si="63"/>
        <v>19.710084720211725</v>
      </c>
      <c r="EK7" s="130">
        <v>0</v>
      </c>
      <c r="EL7" s="31">
        <f>EM$59</f>
        <v>0</v>
      </c>
      <c r="EP7" s="2">
        <v>40589</v>
      </c>
      <c r="EQ7" s="193">
        <v>42962</v>
      </c>
      <c r="ER7" s="14"/>
      <c r="ES7" s="17"/>
      <c r="ET7">
        <v>6.3</v>
      </c>
      <c r="EU7" s="14"/>
      <c r="EV7" s="31"/>
      <c r="EW7" s="14"/>
      <c r="EX7" s="14"/>
      <c r="EY7" s="14"/>
      <c r="EZ7" s="14"/>
      <c r="FA7" s="14"/>
      <c r="FB7" s="14"/>
      <c r="FC7" s="14"/>
      <c r="FD7" s="14"/>
      <c r="FE7" s="14"/>
      <c r="FF7" s="14"/>
      <c r="FG7" s="14"/>
      <c r="FH7" s="14"/>
      <c r="FI7" s="14"/>
      <c r="FJ7" s="14"/>
      <c r="FK7" s="14"/>
      <c r="FL7" s="14"/>
      <c r="FM7" s="14"/>
    </row>
    <row r="8" spans="1:176">
      <c r="B8" s="284"/>
      <c r="AD8" s="323"/>
      <c r="AE8" s="288">
        <f t="shared" si="34"/>
        <v>40603</v>
      </c>
      <c r="AF8" s="282"/>
      <c r="AZ8" s="374"/>
      <c r="BA8" s="288">
        <f t="shared" si="35"/>
        <v>40603</v>
      </c>
      <c r="BB8" s="48">
        <f t="shared" si="0"/>
        <v>91.582388491402227</v>
      </c>
      <c r="BC8" s="222">
        <f t="shared" si="36"/>
        <v>-1.184026808766042E-2</v>
      </c>
      <c r="BD8" s="173">
        <f t="shared" si="1"/>
        <v>0</v>
      </c>
      <c r="BE8" s="99">
        <f t="shared" si="37"/>
        <v>2.0606037410565503</v>
      </c>
      <c r="BF8" s="4" t="str">
        <f t="shared" si="2"/>
        <v>s.o.</v>
      </c>
      <c r="BG8" s="3">
        <f t="shared" si="3"/>
        <v>1</v>
      </c>
      <c r="BH8" s="380"/>
      <c r="BI8" s="378"/>
      <c r="BJ8" s="378"/>
      <c r="BK8" s="378"/>
      <c r="BL8" s="378"/>
      <c r="BM8" s="378"/>
      <c r="BP8" s="158">
        <f t="shared" si="38"/>
        <v>40603</v>
      </c>
      <c r="BQ8" s="373">
        <f>IF($BA$31="d",'Profils de colonie'!I35,IF($BA$31="n",'Profils de colonie'!I63,IF($BA$31="p",'Profils de colonie'!I91,IF($BA$31="a",'Profils de colonie'!I119,IF($BA$31="b",'Profils de colonie'!I147,IF($BA$31="c",'Profils de colonie'!I175,IF($BA$31="r",'Profils de colonie'!I203,IF($BA$31="s",'Profils de colonie'!I231,IF($BA$31="f",'Profils de colonie'!I259,"erreur")))))))))</f>
        <v>7</v>
      </c>
      <c r="BR8">
        <f t="shared" si="4"/>
        <v>14000</v>
      </c>
      <c r="BS8" s="68">
        <f>IF($BA$31="d",'Profils de colonie'!G35,IF($BA$31="n",'Profils de colonie'!G63,IF($BA$31="p",'Profils de colonie'!G91,IF($BA$31="a",'Profils de colonie'!G119,IF($BA$31="b",'Profils de colonie'!G147,IF($BA$31="c",'Profils de colonie'!G175,IF($BA$31="r",'Profils de colonie'!G203,IF($BA$31="s",'Profils de colonie'!G231,IF($BA$31="f",'Profils de colonie'!G259,"erreur")))))))))</f>
        <v>0</v>
      </c>
      <c r="BT8" s="13">
        <f t="shared" si="5"/>
        <v>1</v>
      </c>
      <c r="BU8" s="17">
        <f t="shared" si="6"/>
        <v>7.1428571428571434E-5</v>
      </c>
      <c r="BV8">
        <f t="shared" si="39"/>
        <v>0.6</v>
      </c>
      <c r="BW8" s="14">
        <f t="shared" si="40"/>
        <v>0</v>
      </c>
      <c r="BX8" s="14">
        <f t="shared" si="7"/>
        <v>0.05</v>
      </c>
      <c r="BY8" s="89">
        <f t="shared" si="41"/>
        <v>52.734063042986975</v>
      </c>
      <c r="BZ8" s="21">
        <f t="shared" si="8"/>
        <v>64.734063042986975</v>
      </c>
      <c r="CA8" s="26">
        <f t="shared" si="9"/>
        <v>1</v>
      </c>
      <c r="CB8" s="103">
        <f t="shared" si="10"/>
        <v>0</v>
      </c>
      <c r="CC8" s="22">
        <f t="shared" si="11"/>
        <v>0</v>
      </c>
      <c r="CD8" s="5">
        <f t="shared" si="12"/>
        <v>0.6</v>
      </c>
      <c r="CE8" s="67">
        <f>IF($BA$31="d",'Profils de colonie'!K35,IF($BA$31="n",'Profils de colonie'!K63,IF($BA$31="p",'Profils de colonie'!K91,IF($BA$31="a",'Profils de colonie'!K119,IF($BA$31="b",'Profils de colonie'!K147,IF($BA$31="c",'Profils de colonie'!K175,IF($BA$31="r",'Profils de colonie'!K203,IF($BA$31="s",'Profils de colonie'!K203,IF($BA$31="f",'Profils de colonie'!K259,"erreur")))))))))</f>
        <v>0</v>
      </c>
      <c r="CF8" s="87">
        <f t="shared" si="42"/>
        <v>0</v>
      </c>
      <c r="CG8" s="63">
        <f t="shared" si="43"/>
        <v>0</v>
      </c>
      <c r="CH8" s="84">
        <f t="shared" si="44"/>
        <v>0</v>
      </c>
      <c r="CI8" s="60">
        <f t="shared" si="13"/>
        <v>0</v>
      </c>
      <c r="CJ8" s="61">
        <f t="shared" si="45"/>
        <v>0</v>
      </c>
      <c r="CK8" s="266">
        <f t="shared" si="46"/>
        <v>0</v>
      </c>
      <c r="CL8" s="267">
        <f t="shared" si="47"/>
        <v>0</v>
      </c>
      <c r="CM8" s="61">
        <f t="shared" si="14"/>
        <v>67.734063042986975</v>
      </c>
      <c r="CN8" s="265">
        <v>1</v>
      </c>
      <c r="CO8" s="71">
        <f t="shared" si="15"/>
        <v>4.2749999999999995</v>
      </c>
      <c r="CP8" s="65">
        <f t="shared" si="48"/>
        <v>9.8493837450082944E-2</v>
      </c>
      <c r="CQ8" s="85">
        <f t="shared" si="49"/>
        <v>0</v>
      </c>
      <c r="CR8" s="59">
        <f t="shared" si="50"/>
        <v>0.6</v>
      </c>
      <c r="CS8" s="59">
        <f t="shared" si="16"/>
        <v>0</v>
      </c>
      <c r="CT8" s="62">
        <f t="shared" si="17"/>
        <v>0</v>
      </c>
      <c r="CU8" s="263">
        <f t="shared" si="51"/>
        <v>0</v>
      </c>
      <c r="CV8" s="265">
        <f t="shared" si="52"/>
        <v>0</v>
      </c>
      <c r="CW8" s="64">
        <f t="shared" si="18"/>
        <v>1</v>
      </c>
      <c r="CX8" s="62">
        <f t="shared" si="19"/>
        <v>64.734063042986975</v>
      </c>
      <c r="CY8" s="264">
        <v>1</v>
      </c>
      <c r="CZ8" s="70">
        <f t="shared" si="53"/>
        <v>2.2586249999999999</v>
      </c>
      <c r="DA8" s="66">
        <f t="shared" si="20"/>
        <v>0</v>
      </c>
      <c r="DB8" s="91">
        <f t="shared" si="21"/>
        <v>0</v>
      </c>
      <c r="DC8" s="23">
        <f t="shared" si="22"/>
        <v>-5.0125418235442863E-3</v>
      </c>
      <c r="DD8" s="28">
        <f t="shared" si="23"/>
        <v>-5.0125418235442863E-3</v>
      </c>
      <c r="DE8" s="315">
        <f t="shared" si="54"/>
        <v>0</v>
      </c>
      <c r="DF8" s="270">
        <f>IF(OR($BA$31="n",$BA$31="p"),0,DS7)</f>
        <v>91.582388491402227</v>
      </c>
      <c r="DG8" s="178">
        <f t="shared" si="24"/>
        <v>64.107671943981558</v>
      </c>
      <c r="DH8" s="178">
        <f>DG8*(1-EL7)</f>
        <v>64.107671943981558</v>
      </c>
      <c r="DJ8" s="13">
        <f t="shared" si="25"/>
        <v>91.582388491402227</v>
      </c>
      <c r="DK8" s="199">
        <f t="shared" si="55"/>
        <v>6.7220710174042466</v>
      </c>
      <c r="DL8" s="107">
        <f t="shared" si="26"/>
        <v>84.860317473997981</v>
      </c>
      <c r="DM8" s="182">
        <f>'Immigration de varroas'!E16</f>
        <v>0</v>
      </c>
      <c r="DN8" s="109">
        <f t="shared" si="56"/>
        <v>-8.3696879089825877</v>
      </c>
      <c r="DO8" s="82">
        <f t="shared" si="64"/>
        <v>-8.3696879089825877</v>
      </c>
      <c r="DP8" s="198">
        <f t="shared" si="27"/>
        <v>76.490629565015396</v>
      </c>
      <c r="DQ8" s="278">
        <f>EO$32</f>
        <v>0</v>
      </c>
      <c r="DR8" s="107">
        <f t="shared" si="57"/>
        <v>0</v>
      </c>
      <c r="DS8" s="79">
        <f t="shared" si="28"/>
        <v>76.490629565015396</v>
      </c>
      <c r="DT8" s="23">
        <f t="shared" si="29"/>
        <v>-1.184026808766042E-2</v>
      </c>
      <c r="DU8" s="158">
        <f t="shared" si="30"/>
        <v>40603</v>
      </c>
      <c r="DV8" s="74">
        <f t="shared" si="31"/>
        <v>91.582388491402227</v>
      </c>
      <c r="DW8" s="23">
        <f t="shared" si="32"/>
        <v>6.541599177957302E-3</v>
      </c>
      <c r="DX8" s="114">
        <f t="shared" si="33"/>
        <v>2.0606037410565503</v>
      </c>
      <c r="DY8" t="str">
        <f t="shared" si="65"/>
        <v/>
      </c>
      <c r="DZ8" t="str">
        <f t="shared" si="66"/>
        <v/>
      </c>
      <c r="EB8">
        <f t="shared" si="68"/>
        <v>0</v>
      </c>
      <c r="EC8" s="13">
        <f t="shared" si="58"/>
        <v>132.42656249999999</v>
      </c>
      <c r="ED8" s="14">
        <f t="shared" si="59"/>
        <v>-2000</v>
      </c>
      <c r="EE8" s="13">
        <f t="shared" si="60"/>
        <v>2132.4265624999998</v>
      </c>
      <c r="EF8" s="13">
        <f t="shared" si="67"/>
        <v>140.21434931506849</v>
      </c>
      <c r="EG8" s="17">
        <f t="shared" si="61"/>
        <v>0.6</v>
      </c>
      <c r="EH8" s="197">
        <f t="shared" si="62"/>
        <v>8.3696879089825877</v>
      </c>
      <c r="EJ8" s="13">
        <f t="shared" si="63"/>
        <v>0</v>
      </c>
      <c r="EK8" s="130">
        <v>0</v>
      </c>
      <c r="EL8" s="31">
        <f>EN$59</f>
        <v>0</v>
      </c>
      <c r="EP8" s="2">
        <v>40603</v>
      </c>
      <c r="EQ8" s="193">
        <v>42979</v>
      </c>
      <c r="ES8" s="17"/>
      <c r="EU8" s="14"/>
      <c r="EV8" s="31"/>
    </row>
    <row r="9" spans="1:176" ht="16" customHeight="1">
      <c r="B9" s="284"/>
      <c r="AD9" s="323"/>
      <c r="AE9" s="288">
        <f t="shared" si="34"/>
        <v>40617</v>
      </c>
      <c r="AF9" s="282"/>
      <c r="AZ9" s="374"/>
      <c r="BA9" s="288">
        <f t="shared" si="35"/>
        <v>40617</v>
      </c>
      <c r="BB9" s="48">
        <f t="shared" si="0"/>
        <v>76.490629565015396</v>
      </c>
      <c r="BC9" s="222">
        <f t="shared" si="36"/>
        <v>1.6124532565378994E-2</v>
      </c>
      <c r="BD9" s="173">
        <f t="shared" si="1"/>
        <v>0</v>
      </c>
      <c r="BE9" s="99">
        <f t="shared" si="37"/>
        <v>1.0581486271164688</v>
      </c>
      <c r="BF9" s="4">
        <f t="shared" si="2"/>
        <v>2.5090071300384653E-2</v>
      </c>
      <c r="BG9" s="3">
        <f t="shared" si="3"/>
        <v>0.52699819728752795</v>
      </c>
      <c r="BH9" s="381">
        <v>90</v>
      </c>
      <c r="BI9" s="394" t="s">
        <v>101</v>
      </c>
      <c r="BJ9" s="395"/>
      <c r="BK9" s="395"/>
      <c r="BL9" s="395"/>
      <c r="BM9" s="396"/>
      <c r="BP9" s="158">
        <f t="shared" si="38"/>
        <v>40617</v>
      </c>
      <c r="BQ9" s="373">
        <f>IF($BA$31="d",'Profils de colonie'!I36,IF($BA$31="n",'Profils de colonie'!I64,IF($BA$31="p",'Profils de colonie'!I92,IF($BA$31="a",'Profils de colonie'!I120,IF($BA$31="b",'Profils de colonie'!I148,IF($BA$31="c",'Profils de colonie'!I176,IF($BA$31="r",'Profils de colonie'!I204,IF($BA$31="s",'Profils de colonie'!I232,IF($BA$31="f",'Profils de colonie'!I260,"erreur")))))))))</f>
        <v>6</v>
      </c>
      <c r="BR9">
        <f t="shared" si="4"/>
        <v>12000</v>
      </c>
      <c r="BS9" s="68">
        <f>IF($BA$31="d",'Profils de colonie'!G36,IF($BA$31="n",'Profils de colonie'!G64,IF($BA$31="p",'Profils de colonie'!G92,IF($BA$31="a",'Profils de colonie'!G120,IF($BA$31="b",'Profils de colonie'!G148,IF($BA$31="c",'Profils de colonie'!G176,IF($BA$31="r",'Profils de colonie'!G204,IF($BA$31="s",'Profils de colonie'!G232,IF($BA$31="f",'Profils de colonie'!G260,"erreur")))))))))</f>
        <v>0.5</v>
      </c>
      <c r="BT9" s="13">
        <f t="shared" si="5"/>
        <v>2250</v>
      </c>
      <c r="BU9" s="17">
        <f t="shared" si="6"/>
        <v>0.1875</v>
      </c>
      <c r="BV9">
        <f t="shared" si="39"/>
        <v>1350</v>
      </c>
      <c r="BW9" s="14">
        <f t="shared" si="40"/>
        <v>33.871596255519279</v>
      </c>
      <c r="BX9" s="14">
        <f t="shared" si="7"/>
        <v>112.5</v>
      </c>
      <c r="BY9" s="89">
        <f t="shared" si="41"/>
        <v>13.369882167858357</v>
      </c>
      <c r="BZ9" s="21">
        <f t="shared" si="8"/>
        <v>25.369882167858357</v>
      </c>
      <c r="CA9" s="26">
        <f t="shared" si="9"/>
        <v>0.52699819728752795</v>
      </c>
      <c r="CB9" s="103">
        <f t="shared" si="10"/>
        <v>0.47300180271247205</v>
      </c>
      <c r="CC9" s="22">
        <f t="shared" si="11"/>
        <v>36.180205674864197</v>
      </c>
      <c r="CD9" s="5">
        <f t="shared" si="12"/>
        <v>1350</v>
      </c>
      <c r="CE9" s="67">
        <f>IF($BA$31="d",'Profils de colonie'!K36,IF($BA$31="n",'Profils de colonie'!K64,IF($BA$31="p",'Profils de colonie'!K92,IF($BA$31="a",'Profils de colonie'!K120,IF($BA$31="b",'Profils de colonie'!K148,IF($BA$31="c",'Profils de colonie'!K176,IF($BA$31="r",'Profils de colonie'!K204,IF($BA$31="s",'Profils de colonie'!K204,IF($BA$31="f",'Profils de colonie'!K260,"erreur")))))))))</f>
        <v>0.02</v>
      </c>
      <c r="CF9" s="87">
        <f t="shared" si="42"/>
        <v>1.2800000000000001E-2</v>
      </c>
      <c r="CG9" s="63">
        <f t="shared" si="43"/>
        <v>6.4000000000000001E-2</v>
      </c>
      <c r="CH9" s="84">
        <f t="shared" si="44"/>
        <v>3.0272115373598214E-2</v>
      </c>
      <c r="CI9" s="60">
        <f t="shared" si="13"/>
        <v>2.3155331631913088</v>
      </c>
      <c r="CJ9" s="61">
        <f t="shared" si="45"/>
        <v>0.13400076175875628</v>
      </c>
      <c r="CK9" s="266">
        <f t="shared" si="46"/>
        <v>0.12541060162305206</v>
      </c>
      <c r="CL9" s="267">
        <f t="shared" si="47"/>
        <v>1.0684962836038674</v>
      </c>
      <c r="CM9" s="61">
        <f t="shared" si="14"/>
        <v>28.369882167858357</v>
      </c>
      <c r="CN9" s="265">
        <v>1</v>
      </c>
      <c r="CO9" s="71">
        <f t="shared" si="15"/>
        <v>4.2749999999999995</v>
      </c>
      <c r="CP9" s="65">
        <f t="shared" si="48"/>
        <v>9.8493837450082944E-2</v>
      </c>
      <c r="CQ9" s="85">
        <f t="shared" si="49"/>
        <v>0.44272968733887386</v>
      </c>
      <c r="CR9" s="59">
        <f t="shared" si="50"/>
        <v>1332.72</v>
      </c>
      <c r="CS9" s="59">
        <f t="shared" si="16"/>
        <v>33.864672511672886</v>
      </c>
      <c r="CT9" s="62">
        <f t="shared" si="17"/>
        <v>2.5410193072568046E-2</v>
      </c>
      <c r="CU9" s="263">
        <f t="shared" si="51"/>
        <v>2.5090071300384653E-2</v>
      </c>
      <c r="CV9" s="265">
        <f t="shared" si="52"/>
        <v>1.012718539131428</v>
      </c>
      <c r="CW9" s="64">
        <f t="shared" si="18"/>
        <v>0.93599999999999994</v>
      </c>
      <c r="CX9" s="62">
        <f t="shared" si="19"/>
        <v>25.369882167858357</v>
      </c>
      <c r="CY9" s="264">
        <v>1</v>
      </c>
      <c r="CZ9" s="70">
        <f t="shared" si="53"/>
        <v>2.2586249999999999</v>
      </c>
      <c r="DA9" s="66">
        <f t="shared" si="20"/>
        <v>6.518049768398862E-2</v>
      </c>
      <c r="DB9" s="91">
        <f t="shared" si="21"/>
        <v>3.1838958171101814E-2</v>
      </c>
      <c r="DC9" s="23">
        <f t="shared" si="22"/>
        <v>-5.0125418235442863E-3</v>
      </c>
      <c r="DD9" s="28">
        <f t="shared" si="23"/>
        <v>2.6826416347557527E-2</v>
      </c>
      <c r="DE9" s="315">
        <f t="shared" si="54"/>
        <v>33.352453952260227</v>
      </c>
      <c r="DF9" s="270">
        <f>IF(OR($BA$31="n",$BA$31="p"),0,DS8)</f>
        <v>76.490629565015396</v>
      </c>
      <c r="DG9" s="178">
        <f t="shared" si="24"/>
        <v>53.543440695510775</v>
      </c>
      <c r="DH9" s="178">
        <f>DG9*(1-EL8)</f>
        <v>53.543440695510775</v>
      </c>
      <c r="DJ9" s="13">
        <f t="shared" si="25"/>
        <v>109.84308351727563</v>
      </c>
      <c r="DK9" s="199">
        <f t="shared" si="55"/>
        <v>8.0623908192033156</v>
      </c>
      <c r="DL9" s="107">
        <f t="shared" si="26"/>
        <v>101.78069269807231</v>
      </c>
      <c r="DM9" s="182">
        <f>'Immigration de varroas'!E17</f>
        <v>0</v>
      </c>
      <c r="DN9" s="109">
        <f t="shared" si="56"/>
        <v>-4.0324217613326105</v>
      </c>
      <c r="DO9" s="82">
        <f t="shared" si="64"/>
        <v>-4.0324217613326105</v>
      </c>
      <c r="DP9" s="198">
        <f t="shared" si="27"/>
        <v>97.748270936739701</v>
      </c>
      <c r="DQ9" s="278">
        <f>EP$32</f>
        <v>0</v>
      </c>
      <c r="DR9" s="107">
        <f t="shared" si="57"/>
        <v>0</v>
      </c>
      <c r="DS9" s="79">
        <f t="shared" si="28"/>
        <v>97.748270936739701</v>
      </c>
      <c r="DT9" s="23">
        <f t="shared" si="29"/>
        <v>1.6124532565378994E-2</v>
      </c>
      <c r="DU9" s="158">
        <f t="shared" si="30"/>
        <v>40617</v>
      </c>
      <c r="DV9" s="74">
        <f t="shared" si="31"/>
        <v>40.310423890151199</v>
      </c>
      <c r="DW9" s="23">
        <f t="shared" si="32"/>
        <v>3.3592019908459331E-3</v>
      </c>
      <c r="DX9" s="114">
        <f t="shared" si="33"/>
        <v>1.0581486271164688</v>
      </c>
      <c r="DY9" t="str">
        <f t="shared" si="65"/>
        <v/>
      </c>
      <c r="DZ9" t="str">
        <f t="shared" si="66"/>
        <v/>
      </c>
      <c r="EB9">
        <f t="shared" si="68"/>
        <v>0</v>
      </c>
      <c r="EC9" s="13">
        <f t="shared" si="58"/>
        <v>0.68437499999999996</v>
      </c>
      <c r="ED9" s="14">
        <f t="shared" si="59"/>
        <v>-2000</v>
      </c>
      <c r="EE9" s="13">
        <f t="shared" si="60"/>
        <v>2000.684375</v>
      </c>
      <c r="EF9" s="13">
        <f t="shared" si="67"/>
        <v>131.55184931506849</v>
      </c>
      <c r="EG9" s="17">
        <f t="shared" si="61"/>
        <v>0.6</v>
      </c>
      <c r="EH9" s="197">
        <f t="shared" si="62"/>
        <v>4.0324217613326105</v>
      </c>
      <c r="EJ9" s="13">
        <f t="shared" si="63"/>
        <v>33.352453952260227</v>
      </c>
      <c r="EK9" s="131">
        <f>EP$57</f>
        <v>63.67644803087736</v>
      </c>
      <c r="EL9" s="31">
        <f>EO$59</f>
        <v>0</v>
      </c>
      <c r="EP9" s="2">
        <v>40617</v>
      </c>
      <c r="EQ9" s="193">
        <v>42993</v>
      </c>
      <c r="ES9" s="17"/>
      <c r="ET9">
        <v>10.08</v>
      </c>
      <c r="EU9" s="14"/>
      <c r="EV9" s="14"/>
    </row>
    <row r="10" spans="1:176">
      <c r="B10" s="284"/>
      <c r="AD10" s="323" t="s">
        <v>289</v>
      </c>
      <c r="AE10" s="288">
        <f t="shared" si="34"/>
        <v>40634</v>
      </c>
      <c r="AF10" s="282"/>
      <c r="AZ10" s="374"/>
      <c r="BA10" s="288">
        <f t="shared" si="35"/>
        <v>40634</v>
      </c>
      <c r="BB10" s="48">
        <f t="shared" si="0"/>
        <v>97.748270936739701</v>
      </c>
      <c r="BC10" s="222">
        <f t="shared" si="36"/>
        <v>-8.5756172426814069E-3</v>
      </c>
      <c r="BD10" s="173">
        <f t="shared" si="1"/>
        <v>0</v>
      </c>
      <c r="BE10" s="99">
        <f t="shared" si="37"/>
        <v>1.1601899691033579</v>
      </c>
      <c r="BF10" s="4">
        <f t="shared" si="2"/>
        <v>1.8114430885287414E-2</v>
      </c>
      <c r="BG10" s="3">
        <f t="shared" si="3"/>
        <v>0.45215851579925165</v>
      </c>
      <c r="BH10" s="380"/>
      <c r="BI10" s="397"/>
      <c r="BJ10" s="398"/>
      <c r="BK10" s="398"/>
      <c r="BL10" s="398"/>
      <c r="BM10" s="399"/>
      <c r="BP10" s="158">
        <f t="shared" si="38"/>
        <v>40634</v>
      </c>
      <c r="BQ10" s="373">
        <f>IF($BA$31="d",'Profils de colonie'!I37,IF($BA$31="n",'Profils de colonie'!I65,IF($BA$31="p",'Profils de colonie'!I93,IF($BA$31="a",'Profils de colonie'!I121,IF($BA$31="b",'Profils de colonie'!I149,IF($BA$31="c",'Profils de colonie'!I177,IF($BA$31="r",'Profils de colonie'!I205,IF($BA$31="s",'Profils de colonie'!I233,IF($BA$31="f",'Profils de colonie'!I261,"erreur")))))))))</f>
        <v>6</v>
      </c>
      <c r="BR10">
        <f t="shared" si="4"/>
        <v>12000</v>
      </c>
      <c r="BS10" s="68">
        <f>IF($BA$31="d",'Profils de colonie'!G37,IF($BA$31="n",'Profils de colonie'!G65,IF($BA$31="p",'Profils de colonie'!G93,IF($BA$31="a",'Profils de colonie'!G121,IF($BA$31="b",'Profils de colonie'!G149,IF($BA$31="c",'Profils de colonie'!G177,IF($BA$31="r",'Profils de colonie'!G205,IF($BA$31="s",'Profils de colonie'!G233,IF($BA$31="f",'Profils de colonie'!G261,"erreur")))))))))</f>
        <v>1</v>
      </c>
      <c r="BT10" s="13">
        <f t="shared" si="5"/>
        <v>4500</v>
      </c>
      <c r="BU10" s="17">
        <f t="shared" si="6"/>
        <v>0.375</v>
      </c>
      <c r="BV10">
        <f t="shared" si="39"/>
        <v>2700</v>
      </c>
      <c r="BW10" s="14">
        <f t="shared" si="40"/>
        <v>48.908963390276014</v>
      </c>
      <c r="BX10" s="14">
        <f t="shared" si="7"/>
        <v>225</v>
      </c>
      <c r="BY10" s="89">
        <f t="shared" si="41"/>
        <v>9.9041462650586318</v>
      </c>
      <c r="BZ10" s="21">
        <f t="shared" si="8"/>
        <v>21.904146265058632</v>
      </c>
      <c r="CA10" s="26">
        <f t="shared" si="9"/>
        <v>0.45215851579925165</v>
      </c>
      <c r="CB10" s="103">
        <f t="shared" si="10"/>
        <v>0.54784148420074841</v>
      </c>
      <c r="CC10" s="22">
        <f t="shared" si="11"/>
        <v>53.550557828040354</v>
      </c>
      <c r="CD10" s="5">
        <f t="shared" si="12"/>
        <v>2700</v>
      </c>
      <c r="CE10" s="67">
        <f>IF($BA$31="d",'Profils de colonie'!K37,IF($BA$31="n",'Profils de colonie'!K65,IF($BA$31="p",'Profils de colonie'!K93,IF($BA$31="a",'Profils de colonie'!K121,IF($BA$31="b",'Profils de colonie'!K149,IF($BA$31="c",'Profils de colonie'!K177,IF($BA$31="r",'Profils de colonie'!K205,IF($BA$31="s",'Profils de colonie'!K205,IF($BA$31="f",'Profils de colonie'!K261,"erreur")))))))))</f>
        <v>0.03</v>
      </c>
      <c r="CF10" s="87">
        <f t="shared" si="42"/>
        <v>1.9199999999999998E-2</v>
      </c>
      <c r="CG10" s="63">
        <f t="shared" si="43"/>
        <v>9.5999999999999988E-2</v>
      </c>
      <c r="CH10" s="84">
        <f t="shared" si="44"/>
        <v>5.2592782483271844E-2</v>
      </c>
      <c r="CI10" s="60">
        <f t="shared" si="13"/>
        <v>5.1408535514918734</v>
      </c>
      <c r="CJ10" s="61">
        <f t="shared" si="45"/>
        <v>9.9167699681556212E-2</v>
      </c>
      <c r="CK10" s="266">
        <f t="shared" si="46"/>
        <v>9.4409172004686792E-2</v>
      </c>
      <c r="CL10" s="267">
        <f t="shared" si="47"/>
        <v>1.0504032349381605</v>
      </c>
      <c r="CM10" s="61">
        <f t="shared" si="14"/>
        <v>24.904146265058632</v>
      </c>
      <c r="CN10" s="265">
        <v>1</v>
      </c>
      <c r="CO10" s="71">
        <f t="shared" si="15"/>
        <v>4.2749999999999995</v>
      </c>
      <c r="CP10" s="65">
        <f t="shared" si="48"/>
        <v>9.8493837450082944E-2</v>
      </c>
      <c r="CQ10" s="85">
        <f t="shared" si="49"/>
        <v>0.49524870171747659</v>
      </c>
      <c r="CR10" s="59">
        <f t="shared" si="50"/>
        <v>2648.16</v>
      </c>
      <c r="CS10" s="59">
        <f t="shared" si="16"/>
        <v>48.409704276548482</v>
      </c>
      <c r="CT10" s="62">
        <f t="shared" si="17"/>
        <v>1.8280505814055225E-2</v>
      </c>
      <c r="CU10" s="263">
        <f t="shared" si="51"/>
        <v>1.8114430885287414E-2</v>
      </c>
      <c r="CV10" s="265">
        <f t="shared" si="52"/>
        <v>1.0091123931753607</v>
      </c>
      <c r="CW10" s="64">
        <f t="shared" si="18"/>
        <v>0.90400000000000003</v>
      </c>
      <c r="CX10" s="62">
        <f t="shared" si="19"/>
        <v>21.904146265058632</v>
      </c>
      <c r="CY10" s="264">
        <v>1</v>
      </c>
      <c r="CZ10" s="70">
        <f t="shared" si="53"/>
        <v>2.2586249999999999</v>
      </c>
      <c r="DA10" s="66">
        <f t="shared" si="20"/>
        <v>6.518049768398862E-2</v>
      </c>
      <c r="DB10" s="91">
        <f t="shared" si="21"/>
        <v>3.74606218242493E-2</v>
      </c>
      <c r="DC10" s="23">
        <f t="shared" si="22"/>
        <v>-6.0180723255630212E-3</v>
      </c>
      <c r="DD10" s="28">
        <f t="shared" si="23"/>
        <v>3.144254949868628E-2</v>
      </c>
      <c r="DE10" s="315">
        <f t="shared" si="54"/>
        <v>0</v>
      </c>
      <c r="DF10" s="271">
        <f>IF(OR($BA$31="n",$BA$31="p"),BA32,DS9)</f>
        <v>97.748270936739701</v>
      </c>
      <c r="DG10" s="178">
        <f t="shared" si="24"/>
        <v>68.423789655717783</v>
      </c>
      <c r="DH10" s="271">
        <f>IF(OR($BA$31="n",$BA$31="p"),(DG10*(1-0.5)),(DG10*(1-EL9)))</f>
        <v>68.423789655717783</v>
      </c>
      <c r="DJ10" s="13">
        <f t="shared" si="25"/>
        <v>97.748270936739701</v>
      </c>
      <c r="DK10" s="199">
        <f t="shared" si="55"/>
        <v>8.5491967793127088</v>
      </c>
      <c r="DL10" s="107">
        <f t="shared" si="26"/>
        <v>89.199074157426992</v>
      </c>
      <c r="DM10" s="182">
        <f>'Immigration de varroas'!E18</f>
        <v>0</v>
      </c>
      <c r="DN10" s="109">
        <f t="shared" si="56"/>
        <v>-3.402878614736188</v>
      </c>
      <c r="DO10" s="82">
        <f t="shared" si="64"/>
        <v>-3.402878614736188</v>
      </c>
      <c r="DP10" s="198">
        <f t="shared" si="27"/>
        <v>85.79619554269081</v>
      </c>
      <c r="DQ10" s="278">
        <f>EQ$32</f>
        <v>0</v>
      </c>
      <c r="DR10" s="107">
        <f t="shared" si="57"/>
        <v>0</v>
      </c>
      <c r="DS10" s="79">
        <f t="shared" si="28"/>
        <v>85.79619554269081</v>
      </c>
      <c r="DT10" s="23">
        <f t="shared" si="29"/>
        <v>-8.5756172426814069E-3</v>
      </c>
      <c r="DU10" s="158">
        <f t="shared" si="30"/>
        <v>40634</v>
      </c>
      <c r="DV10" s="74">
        <f t="shared" si="31"/>
        <v>44.197713108699347</v>
      </c>
      <c r="DW10" s="23">
        <f t="shared" si="32"/>
        <v>3.6831427590582788E-3</v>
      </c>
      <c r="DX10" s="114">
        <f t="shared" si="33"/>
        <v>1.1601899691033579</v>
      </c>
      <c r="DY10" t="str">
        <f t="shared" si="65"/>
        <v/>
      </c>
      <c r="DZ10" t="str">
        <f t="shared" si="66"/>
        <v/>
      </c>
      <c r="EB10">
        <f t="shared" si="68"/>
        <v>0</v>
      </c>
      <c r="EC10" s="13">
        <f t="shared" si="58"/>
        <v>1539.84375</v>
      </c>
      <c r="ED10" s="14">
        <f t="shared" si="59"/>
        <v>0</v>
      </c>
      <c r="EE10" s="13">
        <f t="shared" si="60"/>
        <v>1539.84375</v>
      </c>
      <c r="EF10" s="13">
        <f t="shared" si="67"/>
        <v>101.25</v>
      </c>
      <c r="EG10" s="17">
        <f t="shared" si="61"/>
        <v>0.6</v>
      </c>
      <c r="EH10" s="197">
        <f t="shared" si="62"/>
        <v>3.402878614736188</v>
      </c>
      <c r="EJ10" s="13">
        <f t="shared" si="63"/>
        <v>0</v>
      </c>
      <c r="EK10" s="131">
        <f>EQ$57</f>
        <v>58.18011773435191</v>
      </c>
      <c r="EL10" s="272">
        <f>IF(OR($BA$31="n",$BA$31="p"),0.15,EP59)</f>
        <v>0.56110890346727038</v>
      </c>
      <c r="EP10" s="2">
        <v>40634</v>
      </c>
      <c r="EQ10" s="193">
        <v>43009</v>
      </c>
      <c r="ES10" s="17"/>
      <c r="EU10" s="14"/>
      <c r="EV10" s="14"/>
    </row>
    <row r="11" spans="1:176" ht="16" customHeight="1">
      <c r="B11" s="284"/>
      <c r="AD11" s="323" t="s">
        <v>289</v>
      </c>
      <c r="AE11" s="288">
        <f t="shared" si="34"/>
        <v>40648</v>
      </c>
      <c r="AF11" s="282"/>
      <c r="AZ11" s="374"/>
      <c r="BA11" s="288">
        <f t="shared" si="35"/>
        <v>40648</v>
      </c>
      <c r="BB11" s="48">
        <f t="shared" si="0"/>
        <v>85.79619554269081</v>
      </c>
      <c r="BC11" s="222">
        <f t="shared" si="36"/>
        <v>-7.5220277139901627E-3</v>
      </c>
      <c r="BD11" s="173">
        <f t="shared" si="1"/>
        <v>0</v>
      </c>
      <c r="BE11" s="99">
        <f t="shared" si="37"/>
        <v>0.30180835338144429</v>
      </c>
      <c r="BF11" s="4">
        <f t="shared" si="2"/>
        <v>4.6138210292184789E-3</v>
      </c>
      <c r="BG11" s="3">
        <f t="shared" si="3"/>
        <v>0.1340089849960413</v>
      </c>
      <c r="BH11" s="381">
        <v>50</v>
      </c>
      <c r="BI11" s="378" t="s">
        <v>102</v>
      </c>
      <c r="BJ11" s="378"/>
      <c r="BK11" s="378"/>
      <c r="BL11" s="378"/>
      <c r="BM11" s="378"/>
      <c r="BP11" s="158">
        <f t="shared" si="38"/>
        <v>40648</v>
      </c>
      <c r="BQ11" s="373">
        <f>IF($BA$31="d",'Profils de colonie'!I38,IF($BA$31="n",'Profils de colonie'!I66,IF($BA$31="p",'Profils de colonie'!I94,IF($BA$31="a",'Profils de colonie'!I122,IF($BA$31="b",'Profils de colonie'!I150,IF($BA$31="c",'Profils de colonie'!I178,IF($BA$31="r",'Profils de colonie'!I206,IF($BA$31="s",'Profils de colonie'!I234,IF($BA$31="f",'Profils de colonie'!I262,"erreur")))))))))</f>
        <v>6</v>
      </c>
      <c r="BR11">
        <f t="shared" si="4"/>
        <v>12000</v>
      </c>
      <c r="BS11" s="68">
        <f>IF($BA$31="d",'Profils de colonie'!G38,IF($BA$31="n",'Profils de colonie'!G66,IF($BA$31="p",'Profils de colonie'!G94,IF($BA$31="a",'Profils de colonie'!G122,IF($BA$31="b",'Profils de colonie'!G150,IF($BA$31="c",'Profils de colonie'!G178,IF($BA$31="r",'Profils de colonie'!G206,IF($BA$31="s",'Profils de colonie'!G234,IF($BA$31="f",'Profils de colonie'!G262,"erreur")))))))))</f>
        <v>5</v>
      </c>
      <c r="BT11" s="13">
        <f t="shared" si="5"/>
        <v>22500</v>
      </c>
      <c r="BU11" s="17">
        <f t="shared" si="6"/>
        <v>1.875</v>
      </c>
      <c r="BV11">
        <f t="shared" si="39"/>
        <v>13500</v>
      </c>
      <c r="BW11" s="14">
        <f t="shared" si="40"/>
        <v>62.286583894449464</v>
      </c>
      <c r="BX11" s="14">
        <f t="shared" si="7"/>
        <v>1125</v>
      </c>
      <c r="BY11" s="89">
        <f t="shared" si="41"/>
        <v>1.8569567028881293</v>
      </c>
      <c r="BZ11" s="21">
        <f t="shared" si="8"/>
        <v>13.85695670288813</v>
      </c>
      <c r="CA11" s="26">
        <f t="shared" si="9"/>
        <v>0.1340089849960413</v>
      </c>
      <c r="CB11" s="103">
        <f t="shared" si="10"/>
        <v>0.8659910150039587</v>
      </c>
      <c r="CC11" s="22">
        <f t="shared" si="11"/>
        <v>74.298734461492927</v>
      </c>
      <c r="CD11" s="5">
        <f t="shared" si="12"/>
        <v>13500</v>
      </c>
      <c r="CE11" s="67">
        <f>IF($BA$31="d",'Profils de colonie'!K38,IF($BA$31="n",'Profils de colonie'!K66,IF($BA$31="p",'Profils de colonie'!K94,IF($BA$31="a",'Profils de colonie'!K122,IF($BA$31="b",'Profils de colonie'!K150,IF($BA$31="c",'Profils de colonie'!K178,IF($BA$31="r",'Profils de colonie'!K206,IF($BA$31="s",'Profils de colonie'!K206,IF($BA$31="f",'Profils de colonie'!K262,"erreur")))))))))</f>
        <v>0.06</v>
      </c>
      <c r="CF11" s="87">
        <f t="shared" si="42"/>
        <v>3.8399999999999997E-2</v>
      </c>
      <c r="CG11" s="63">
        <f t="shared" si="43"/>
        <v>0.19199999999999998</v>
      </c>
      <c r="CH11" s="84">
        <f t="shared" si="44"/>
        <v>0.16627027488076004</v>
      </c>
      <c r="CI11" s="60">
        <f t="shared" si="13"/>
        <v>14.265357016606639</v>
      </c>
      <c r="CJ11" s="61">
        <f t="shared" si="45"/>
        <v>2.7518049800552932E-2</v>
      </c>
      <c r="CK11" s="266">
        <f t="shared" si="46"/>
        <v>2.714287748205102E-2</v>
      </c>
      <c r="CL11" s="267">
        <f t="shared" si="47"/>
        <v>1.0138221276926149</v>
      </c>
      <c r="CM11" s="61">
        <f t="shared" si="14"/>
        <v>16.85695670288813</v>
      </c>
      <c r="CN11" s="265">
        <v>1</v>
      </c>
      <c r="CO11" s="71">
        <f t="shared" si="15"/>
        <v>4.2749999999999995</v>
      </c>
      <c r="CP11" s="65">
        <f t="shared" si="48"/>
        <v>9.8493837450082944E-2</v>
      </c>
      <c r="CQ11" s="85">
        <f t="shared" si="49"/>
        <v>0.69972074012319863</v>
      </c>
      <c r="CR11" s="59">
        <f t="shared" si="50"/>
        <v>12981.6</v>
      </c>
      <c r="CS11" s="59">
        <f t="shared" si="16"/>
        <v>60.033377444886284</v>
      </c>
      <c r="CT11" s="62">
        <f t="shared" si="17"/>
        <v>4.6244975538366831E-3</v>
      </c>
      <c r="CU11" s="263">
        <f t="shared" si="51"/>
        <v>4.6138210292184789E-3</v>
      </c>
      <c r="CV11" s="265">
        <f t="shared" si="52"/>
        <v>1.002096836379339</v>
      </c>
      <c r="CW11" s="64">
        <f t="shared" si="18"/>
        <v>0.80800000000000005</v>
      </c>
      <c r="CX11" s="62">
        <f t="shared" si="19"/>
        <v>13.85695670288813</v>
      </c>
      <c r="CY11" s="264">
        <v>1</v>
      </c>
      <c r="CZ11" s="70">
        <f t="shared" si="53"/>
        <v>2.2586249999999999</v>
      </c>
      <c r="DA11" s="66">
        <f t="shared" si="20"/>
        <v>6.518049768398862E-2</v>
      </c>
      <c r="DB11" s="91">
        <f t="shared" si="21"/>
        <v>6.1984743507925141E-2</v>
      </c>
      <c r="DC11" s="23">
        <f t="shared" si="22"/>
        <v>-6.0180723255630212E-3</v>
      </c>
      <c r="DD11" s="28">
        <f t="shared" si="23"/>
        <v>5.5966671182362121E-2</v>
      </c>
      <c r="DE11" s="315">
        <f t="shared" si="54"/>
        <v>0</v>
      </c>
      <c r="DF11" s="270">
        <f>DS10</f>
        <v>85.79619554269081</v>
      </c>
      <c r="DG11" s="178">
        <f t="shared" si="24"/>
        <v>60.057336879883565</v>
      </c>
      <c r="DH11" s="271">
        <f>IF(OR($BA$31="n",$BA$31="p"),(DG11*(1-0.25)),(DG11*(1-EL10)))</f>
        <v>26.358630438047641</v>
      </c>
      <c r="DJ11" s="13">
        <f t="shared" si="25"/>
        <v>85.79619554269081</v>
      </c>
      <c r="DK11" s="199">
        <f t="shared" si="55"/>
        <v>7.5038520025131845</v>
      </c>
      <c r="DL11" s="107">
        <f t="shared" si="26"/>
        <v>78.292343540177626</v>
      </c>
      <c r="DM11" s="182">
        <f>'Immigration de varroas'!E19</f>
        <v>0</v>
      </c>
      <c r="DN11" s="109">
        <f t="shared" si="56"/>
        <v>-1.7704293586750797</v>
      </c>
      <c r="DO11" s="82">
        <f t="shared" si="64"/>
        <v>-1.7704293586750797</v>
      </c>
      <c r="DP11" s="198">
        <f t="shared" si="27"/>
        <v>76.521914181502552</v>
      </c>
      <c r="DQ11" s="278">
        <f>ER$32</f>
        <v>0</v>
      </c>
      <c r="DR11" s="107">
        <f t="shared" si="57"/>
        <v>0</v>
      </c>
      <c r="DS11" s="79">
        <f t="shared" si="28"/>
        <v>76.521914181502552</v>
      </c>
      <c r="DT11" s="23">
        <f t="shared" si="29"/>
        <v>-7.5220277139901627E-3</v>
      </c>
      <c r="DU11" s="158">
        <f t="shared" si="30"/>
        <v>40648</v>
      </c>
      <c r="DV11" s="74">
        <f t="shared" si="31"/>
        <v>11.497461081197878</v>
      </c>
      <c r="DW11" s="23">
        <f t="shared" si="32"/>
        <v>9.581217567664899E-4</v>
      </c>
      <c r="DX11" s="114">
        <f t="shared" si="33"/>
        <v>0.30180835338144429</v>
      </c>
      <c r="DY11" t="str">
        <f t="shared" si="65"/>
        <v/>
      </c>
      <c r="DZ11" t="str">
        <f t="shared" si="66"/>
        <v/>
      </c>
      <c r="EB11">
        <f t="shared" si="68"/>
        <v>0</v>
      </c>
      <c r="EC11" s="13">
        <f t="shared" si="58"/>
        <v>3079.6875</v>
      </c>
      <c r="ED11" s="14">
        <f t="shared" si="59"/>
        <v>0</v>
      </c>
      <c r="EE11" s="13">
        <f t="shared" si="60"/>
        <v>3079.6875</v>
      </c>
      <c r="EF11" s="13">
        <f t="shared" si="67"/>
        <v>202.5</v>
      </c>
      <c r="EG11" s="17">
        <f t="shared" si="61"/>
        <v>0.6</v>
      </c>
      <c r="EH11" s="197">
        <f t="shared" si="62"/>
        <v>1.7704293586750797</v>
      </c>
      <c r="EJ11" s="13">
        <f t="shared" si="63"/>
        <v>0</v>
      </c>
      <c r="EK11" s="131">
        <f>ER$57</f>
        <v>53.158211619179269</v>
      </c>
      <c r="EL11" s="31">
        <f>EQ$59</f>
        <v>0.56110890346727027</v>
      </c>
      <c r="EP11" s="2">
        <v>40648</v>
      </c>
      <c r="EQ11" s="193">
        <v>43023</v>
      </c>
      <c r="ES11" s="17">
        <v>0.62</v>
      </c>
      <c r="ET11">
        <v>7.875</v>
      </c>
      <c r="EU11" s="14"/>
      <c r="EV11" s="14"/>
    </row>
    <row r="12" spans="1:176">
      <c r="B12" s="284"/>
      <c r="AD12" s="323"/>
      <c r="AE12" s="288">
        <f t="shared" si="34"/>
        <v>40664</v>
      </c>
      <c r="AF12" s="282"/>
      <c r="AZ12" s="374"/>
      <c r="BA12" s="288">
        <f t="shared" si="35"/>
        <v>40664</v>
      </c>
      <c r="BB12" s="48">
        <f t="shared" si="0"/>
        <v>76.521914181502552</v>
      </c>
      <c r="BC12" s="222">
        <f t="shared" si="36"/>
        <v>1.7683237940043218E-2</v>
      </c>
      <c r="BD12" s="173">
        <f t="shared" si="1"/>
        <v>0</v>
      </c>
      <c r="BE12" s="99">
        <f t="shared" si="37"/>
        <v>0.22328565524416952</v>
      </c>
      <c r="BF12" s="4">
        <f t="shared" si="2"/>
        <v>2.3936074799899565E-3</v>
      </c>
      <c r="BG12" s="3">
        <f t="shared" si="3"/>
        <v>0.18526545175024842</v>
      </c>
      <c r="BH12" s="380"/>
      <c r="BI12" s="378"/>
      <c r="BJ12" s="378"/>
      <c r="BK12" s="378"/>
      <c r="BL12" s="378"/>
      <c r="BM12" s="378"/>
      <c r="BP12" s="158">
        <f t="shared" si="38"/>
        <v>40664</v>
      </c>
      <c r="BQ12" s="373">
        <f>IF($BA$31="d",'Profils de colonie'!I39,IF($BA$31="n",'Profils de colonie'!I67,IF($BA$31="p",'Profils de colonie'!I95,IF($BA$31="a",'Profils de colonie'!I123,IF($BA$31="b",'Profils de colonie'!I151,IF($BA$31="c",'Profils de colonie'!I179,IF($BA$31="r",'Profils de colonie'!I207,IF($BA$31="s",'Profils de colonie'!I235,IF($BA$31="f",'Profils de colonie'!I263,"erreur")))))))))</f>
        <v>10</v>
      </c>
      <c r="BR12">
        <f t="shared" si="4"/>
        <v>20000</v>
      </c>
      <c r="BS12" s="68">
        <f>IF($BA$31="d",'Profils de colonie'!G39,IF($BA$31="n",'Profils de colonie'!G67,IF($BA$31="p",'Profils de colonie'!G95,IF($BA$31="a",'Profils de colonie'!G123,IF($BA$31="b",'Profils de colonie'!G151,IF($BA$31="c",'Profils de colonie'!G179,IF($BA$31="r",'Profils de colonie'!G207,IF($BA$31="s",'Profils de colonie'!G235,IF($BA$31="f",'Profils de colonie'!G263,"erreur")))))))))</f>
        <v>7</v>
      </c>
      <c r="BT12" s="13">
        <f t="shared" si="5"/>
        <v>31500</v>
      </c>
      <c r="BU12" s="17">
        <f t="shared" si="6"/>
        <v>1.575</v>
      </c>
      <c r="BV12">
        <f t="shared" si="39"/>
        <v>18900</v>
      </c>
      <c r="BW12" s="14">
        <f t="shared" si="40"/>
        <v>45.239181371810176</v>
      </c>
      <c r="BX12" s="14">
        <f t="shared" si="7"/>
        <v>1575</v>
      </c>
      <c r="BY12" s="89">
        <f t="shared" si="41"/>
        <v>2.7287236386120179</v>
      </c>
      <c r="BZ12" s="21">
        <f t="shared" si="8"/>
        <v>14.728723638612017</v>
      </c>
      <c r="CA12" s="26">
        <f t="shared" si="9"/>
        <v>0.18526545175024842</v>
      </c>
      <c r="CB12" s="103">
        <f t="shared" si="10"/>
        <v>0.81473454824975156</v>
      </c>
      <c r="CC12" s="22">
        <f t="shared" si="11"/>
        <v>62.345047181872737</v>
      </c>
      <c r="CD12" s="5">
        <f t="shared" si="12"/>
        <v>18900</v>
      </c>
      <c r="CE12" s="67">
        <f>IF($BA$31="d",'Profils de colonie'!K39,IF($BA$31="n",'Profils de colonie'!K67,IF($BA$31="p",'Profils de colonie'!K95,IF($BA$31="a",'Profils de colonie'!K123,IF($BA$31="b",'Profils de colonie'!K151,IF($BA$31="c",'Profils de colonie'!K179,IF($BA$31="r",'Profils de colonie'!K207,IF($BA$31="s",'Profils de colonie'!K207,IF($BA$31="f",'Profils de colonie'!K263,"erreur")))))))))</f>
        <v>0.1</v>
      </c>
      <c r="CF12" s="87">
        <f t="shared" si="42"/>
        <v>6.4000000000000001E-2</v>
      </c>
      <c r="CG12" s="63">
        <f t="shared" si="43"/>
        <v>0.32</v>
      </c>
      <c r="CH12" s="84">
        <f t="shared" si="44"/>
        <v>0.26071505543992052</v>
      </c>
      <c r="CI12" s="60">
        <f t="shared" si="13"/>
        <v>19.950415098199276</v>
      </c>
      <c r="CJ12" s="61">
        <f t="shared" si="45"/>
        <v>1.6493398725363154E-2</v>
      </c>
      <c r="CK12" s="266">
        <f t="shared" si="46"/>
        <v>1.6358127340613815E-2</v>
      </c>
      <c r="CL12" s="267">
        <f t="shared" si="47"/>
        <v>1.0082693686100297</v>
      </c>
      <c r="CM12" s="61">
        <f t="shared" si="14"/>
        <v>17.728723638612017</v>
      </c>
      <c r="CN12" s="265">
        <v>1</v>
      </c>
      <c r="CO12" s="71">
        <f t="shared" si="15"/>
        <v>4.2749999999999995</v>
      </c>
      <c r="CP12" s="65">
        <f t="shared" si="48"/>
        <v>9.8493837450082944E-2</v>
      </c>
      <c r="CQ12" s="85">
        <f t="shared" si="49"/>
        <v>0.55401949280983098</v>
      </c>
      <c r="CR12" s="59">
        <f t="shared" si="50"/>
        <v>17690.399999999998</v>
      </c>
      <c r="CS12" s="59">
        <f t="shared" si="16"/>
        <v>42.394632083673457</v>
      </c>
      <c r="CT12" s="62">
        <f>CS12/CR12</f>
        <v>2.3964767378732792E-3</v>
      </c>
      <c r="CU12" s="263">
        <f t="shared" si="51"/>
        <v>2.3936074799899565E-3</v>
      </c>
      <c r="CV12" s="265">
        <f t="shared" si="52"/>
        <v>1.0007806113941189</v>
      </c>
      <c r="CW12" s="64">
        <f t="shared" si="18"/>
        <v>0.67999999999999994</v>
      </c>
      <c r="CX12" s="62">
        <f t="shared" si="19"/>
        <v>14.728723638612017</v>
      </c>
      <c r="CY12" s="264">
        <v>1</v>
      </c>
      <c r="CZ12" s="70">
        <f t="shared" si="53"/>
        <v>2.2586249999999999</v>
      </c>
      <c r="DA12" s="66">
        <f t="shared" si="20"/>
        <v>6.518049768398862E-2</v>
      </c>
      <c r="DB12" s="91">
        <f t="shared" si="21"/>
        <v>6.1790092559264626E-2</v>
      </c>
      <c r="DC12" s="23">
        <f t="shared" si="22"/>
        <v>-6.0180723255630212E-3</v>
      </c>
      <c r="DD12" s="28">
        <f t="shared" si="23"/>
        <v>5.5772020233701605E-2</v>
      </c>
      <c r="DE12" s="315">
        <f t="shared" si="54"/>
        <v>36.657561528891137</v>
      </c>
      <c r="DF12" s="270">
        <f t="shared" ref="DF12:DF28" si="69">DS11</f>
        <v>76.521914181502552</v>
      </c>
      <c r="DG12" s="178">
        <f t="shared" si="24"/>
        <v>53.565339927051781</v>
      </c>
      <c r="DH12" s="178">
        <f t="shared" ref="DH12:DH28" si="70">DG12*(1-EL11)</f>
        <v>23.509350776732166</v>
      </c>
      <c r="DJ12" s="13">
        <f t="shared" si="25"/>
        <v>113.17947571039369</v>
      </c>
      <c r="DK12" s="199">
        <f t="shared" si="55"/>
        <v>9.8988309456010768</v>
      </c>
      <c r="DL12" s="107">
        <f t="shared" si="26"/>
        <v>103.28064476479261</v>
      </c>
      <c r="DM12" s="182">
        <f>'Immigration de varroas'!E20</f>
        <v>0</v>
      </c>
      <c r="DN12" s="109">
        <f t="shared" si="56"/>
        <v>-3.1465999332772103</v>
      </c>
      <c r="DO12" s="82">
        <f t="shared" si="64"/>
        <v>-3.1465999332772103</v>
      </c>
      <c r="DP12" s="198">
        <f t="shared" si="27"/>
        <v>100.1340448315154</v>
      </c>
      <c r="DQ12" s="278">
        <f>ES$32</f>
        <v>0</v>
      </c>
      <c r="DR12" s="107">
        <f t="shared" si="57"/>
        <v>0</v>
      </c>
      <c r="DS12" s="79">
        <f t="shared" si="28"/>
        <v>100.1340448315154</v>
      </c>
      <c r="DT12" s="23">
        <f t="shared" si="29"/>
        <v>1.7683237940043218E-2</v>
      </c>
      <c r="DU12" s="158">
        <f t="shared" si="30"/>
        <v>40664</v>
      </c>
      <c r="DV12" s="74">
        <f t="shared" si="31"/>
        <v>14.17686699962981</v>
      </c>
      <c r="DW12" s="23">
        <f t="shared" si="32"/>
        <v>7.0884334998149053E-4</v>
      </c>
      <c r="DX12" s="114">
        <f t="shared" si="33"/>
        <v>0.22328565524416952</v>
      </c>
      <c r="DY12" t="str">
        <f t="shared" si="65"/>
        <v/>
      </c>
      <c r="DZ12" t="str">
        <f t="shared" si="66"/>
        <v/>
      </c>
      <c r="EB12">
        <f t="shared" si="68"/>
        <v>0</v>
      </c>
      <c r="EC12" s="13">
        <f t="shared" si="58"/>
        <v>15398.4375</v>
      </c>
      <c r="ED12" s="14">
        <f t="shared" si="59"/>
        <v>8000</v>
      </c>
      <c r="EE12" s="13">
        <f t="shared" si="60"/>
        <v>7398.4375</v>
      </c>
      <c r="EF12" s="13">
        <f t="shared" si="67"/>
        <v>486.47260273972603</v>
      </c>
      <c r="EG12" s="17">
        <f t="shared" si="61"/>
        <v>0.6</v>
      </c>
      <c r="EH12" s="197">
        <f t="shared" si="62"/>
        <v>3.1465999332772103</v>
      </c>
      <c r="EJ12" s="13">
        <f t="shared" si="63"/>
        <v>36.657561528891137</v>
      </c>
      <c r="EK12" s="131">
        <f>ES$57</f>
        <v>61.120460888049024</v>
      </c>
      <c r="EL12" s="31">
        <f>ER$59</f>
        <v>0.56110890346727027</v>
      </c>
      <c r="EP12" s="2">
        <v>40664</v>
      </c>
      <c r="EQ12" s="193">
        <v>43040</v>
      </c>
      <c r="ES12" s="17">
        <v>0.6</v>
      </c>
      <c r="EU12" s="14"/>
      <c r="EV12" s="14"/>
    </row>
    <row r="13" spans="1:176" ht="16" customHeight="1">
      <c r="B13" s="284"/>
      <c r="AD13" s="323"/>
      <c r="AE13" s="288">
        <f t="shared" si="34"/>
        <v>40678</v>
      </c>
      <c r="AF13" s="282"/>
      <c r="AZ13" s="374"/>
      <c r="BA13" s="288">
        <f t="shared" si="35"/>
        <v>40678</v>
      </c>
      <c r="BB13" s="48">
        <f t="shared" si="0"/>
        <v>100.1340448315154</v>
      </c>
      <c r="BC13" s="222">
        <f t="shared" si="36"/>
        <v>1.2299998898266088E-2</v>
      </c>
      <c r="BD13" s="173">
        <f t="shared" si="1"/>
        <v>0</v>
      </c>
      <c r="BE13" s="99">
        <f t="shared" si="37"/>
        <v>0.30279060851457201</v>
      </c>
      <c r="BF13" s="4">
        <f t="shared" si="2"/>
        <v>2.8105153630773039E-3</v>
      </c>
      <c r="BG13" s="3">
        <f t="shared" si="3"/>
        <v>0.26878691260437249</v>
      </c>
      <c r="BH13" s="381" t="s">
        <v>393</v>
      </c>
      <c r="BI13" s="378" t="s">
        <v>104</v>
      </c>
      <c r="BJ13" s="378"/>
      <c r="BK13" s="378"/>
      <c r="BL13" s="378"/>
      <c r="BM13" s="378"/>
      <c r="BP13" s="158">
        <f t="shared" si="38"/>
        <v>40678</v>
      </c>
      <c r="BQ13" s="373">
        <f>IF($BA$31="d",'Profils de colonie'!I40,IF($BA$31="n",'Profils de colonie'!I68,IF($BA$31="p",'Profils de colonie'!I96,IF($BA$31="a",'Profils de colonie'!I124,IF($BA$31="b",'Profils de colonie'!I152,IF($BA$31="c",'Profils de colonie'!I180,IF($BA$31="r",'Profils de colonie'!I208,IF($BA$31="s",'Profils de colonie'!I236,IF($BA$31="f",'Profils de colonie'!I264,"erreur")))))))))</f>
        <v>14</v>
      </c>
      <c r="BR13">
        <f t="shared" si="4"/>
        <v>28000</v>
      </c>
      <c r="BS13" s="68">
        <f>IF($BA$31="d",'Profils de colonie'!G40,IF($BA$31="n",'Profils de colonie'!G68,IF($BA$31="p",'Profils de colonie'!G96,IF($BA$31="a",'Profils de colonie'!G124,IF($BA$31="b",'Profils de colonie'!G152,IF($BA$31="c",'Profils de colonie'!G180,IF($BA$31="r",'Profils de colonie'!G208,IF($BA$31="s",'Profils de colonie'!G236,IF($BA$31="f",'Profils de colonie'!G264,"erreur")))))))))</f>
        <v>7</v>
      </c>
      <c r="BT13" s="13">
        <f t="shared" si="5"/>
        <v>31500</v>
      </c>
      <c r="BU13" s="17">
        <f t="shared" si="6"/>
        <v>1.125</v>
      </c>
      <c r="BV13">
        <f t="shared" si="39"/>
        <v>18900</v>
      </c>
      <c r="BW13" s="14">
        <f t="shared" si="40"/>
        <v>53.118740362161041</v>
      </c>
      <c r="BX13" s="14">
        <f t="shared" si="7"/>
        <v>1575</v>
      </c>
      <c r="BY13" s="89">
        <f t="shared" si="41"/>
        <v>4.4110848217180827</v>
      </c>
      <c r="BZ13" s="21">
        <f t="shared" si="8"/>
        <v>16.411084821718084</v>
      </c>
      <c r="CA13" s="26">
        <f t="shared" si="9"/>
        <v>0.26878691260437249</v>
      </c>
      <c r="CB13" s="103">
        <f t="shared" si="10"/>
        <v>0.73121308739562751</v>
      </c>
      <c r="CC13" s="22">
        <f t="shared" si="11"/>
        <v>73.219324074664556</v>
      </c>
      <c r="CD13" s="5">
        <f t="shared" si="12"/>
        <v>18900</v>
      </c>
      <c r="CE13" s="67">
        <f>IF($BA$31="d",'Profils de colonie'!K40,IF($BA$31="n",'Profils de colonie'!K68,IF($BA$31="p",'Profils de colonie'!K96,IF($BA$31="a",'Profils de colonie'!K124,IF($BA$31="b",'Profils de colonie'!K152,IF($BA$31="c",'Profils de colonie'!K180,IF($BA$31="r",'Profils de colonie'!K208,IF($BA$31="s",'Profils de colonie'!K208,IF($BA$31="f",'Profils de colonie'!K264,"erreur")))))))))</f>
        <v>0.1</v>
      </c>
      <c r="CF13" s="87">
        <f t="shared" si="42"/>
        <v>6.4000000000000001E-2</v>
      </c>
      <c r="CG13" s="63">
        <f t="shared" si="43"/>
        <v>0.32</v>
      </c>
      <c r="CH13" s="84">
        <f t="shared" si="44"/>
        <v>0.23398818796660081</v>
      </c>
      <c r="CI13" s="60">
        <f t="shared" si="13"/>
        <v>23.430183703892659</v>
      </c>
      <c r="CJ13" s="61">
        <f t="shared" si="45"/>
        <v>1.9370191554144062E-2</v>
      </c>
      <c r="CK13" s="266">
        <f t="shared" si="46"/>
        <v>1.9183794847205671E-2</v>
      </c>
      <c r="CL13" s="267">
        <f t="shared" si="47"/>
        <v>1.0097163626082846</v>
      </c>
      <c r="CM13" s="61">
        <f t="shared" si="14"/>
        <v>19.411084821718084</v>
      </c>
      <c r="CN13" s="265">
        <v>1</v>
      </c>
      <c r="CO13" s="71">
        <f t="shared" si="15"/>
        <v>4.2749999999999995</v>
      </c>
      <c r="CP13" s="65">
        <f t="shared" si="48"/>
        <v>9.8493837450082944E-2</v>
      </c>
      <c r="CQ13" s="85">
        <f t="shared" si="49"/>
        <v>0.4972248994290267</v>
      </c>
      <c r="CR13" s="59">
        <f t="shared" si="50"/>
        <v>17690.399999999998</v>
      </c>
      <c r="CS13" s="59">
        <f t="shared" si="16"/>
        <v>49.789140370771896</v>
      </c>
      <c r="CT13" s="62">
        <f t="shared" si="17"/>
        <v>2.8144722770978557E-3</v>
      </c>
      <c r="CU13" s="263">
        <f t="shared" si="51"/>
        <v>2.8105153630773039E-3</v>
      </c>
      <c r="CV13" s="265">
        <f t="shared" si="52"/>
        <v>1.0010517154056435</v>
      </c>
      <c r="CW13" s="64">
        <f t="shared" si="18"/>
        <v>0.67999999999999994</v>
      </c>
      <c r="CX13" s="62">
        <f t="shared" si="19"/>
        <v>16.411084821718084</v>
      </c>
      <c r="CY13" s="264">
        <v>1</v>
      </c>
      <c r="CZ13" s="70">
        <f t="shared" si="53"/>
        <v>2.2586249999999999</v>
      </c>
      <c r="DA13" s="66">
        <f t="shared" si="20"/>
        <v>6.518049768398862E-2</v>
      </c>
      <c r="DB13" s="91">
        <f t="shared" si="21"/>
        <v>5.5455760956476988E-2</v>
      </c>
      <c r="DC13" s="23">
        <f t="shared" si="22"/>
        <v>-6.0180723255630212E-3</v>
      </c>
      <c r="DD13" s="28">
        <f t="shared" si="23"/>
        <v>4.9437688630913967E-2</v>
      </c>
      <c r="DE13" s="315">
        <f t="shared" si="54"/>
        <v>40.738091193351011</v>
      </c>
      <c r="DF13" s="270">
        <f t="shared" si="69"/>
        <v>100.1340448315154</v>
      </c>
      <c r="DG13" s="178">
        <f t="shared" si="24"/>
        <v>70.09383138206077</v>
      </c>
      <c r="DH13" s="178">
        <f t="shared" si="70"/>
        <v>30.763558515452914</v>
      </c>
      <c r="DJ13" s="13">
        <f t="shared" si="25"/>
        <v>140.87213602486639</v>
      </c>
      <c r="DK13" s="199">
        <f t="shared" si="55"/>
        <v>12.32086869728991</v>
      </c>
      <c r="DL13" s="107">
        <f t="shared" si="26"/>
        <v>128.55126732757648</v>
      </c>
      <c r="DM13" s="182">
        <f>'Immigration de varroas'!E21</f>
        <v>0</v>
      </c>
      <c r="DN13" s="109">
        <f t="shared" si="56"/>
        <v>-7.8193872323837539</v>
      </c>
      <c r="DO13" s="82">
        <f t="shared" si="64"/>
        <v>-7.8193872323837539</v>
      </c>
      <c r="DP13" s="198">
        <f t="shared" si="27"/>
        <v>120.73188009519274</v>
      </c>
      <c r="DQ13" s="278">
        <f>ET$32</f>
        <v>0</v>
      </c>
      <c r="DR13" s="107">
        <f t="shared" si="57"/>
        <v>0</v>
      </c>
      <c r="DS13" s="79">
        <f t="shared" si="28"/>
        <v>120.73188009519274</v>
      </c>
      <c r="DT13" s="23">
        <f t="shared" si="29"/>
        <v>1.2299998898266088E-2</v>
      </c>
      <c r="DU13" s="158">
        <f t="shared" si="30"/>
        <v>40678</v>
      </c>
      <c r="DV13" s="74">
        <f t="shared" si="31"/>
        <v>26.914720756850844</v>
      </c>
      <c r="DW13" s="23">
        <f t="shared" si="32"/>
        <v>9.6124002703038729E-4</v>
      </c>
      <c r="DX13" s="114">
        <f t="shared" si="33"/>
        <v>0.30279060851457201</v>
      </c>
      <c r="DY13" t="str">
        <f t="shared" si="65"/>
        <v/>
      </c>
      <c r="DZ13" t="str">
        <f t="shared" si="66"/>
        <v/>
      </c>
      <c r="EB13">
        <f t="shared" si="68"/>
        <v>0</v>
      </c>
      <c r="EC13" s="13">
        <f t="shared" si="58"/>
        <v>21557.8125</v>
      </c>
      <c r="ED13" s="14">
        <f t="shared" si="59"/>
        <v>8000</v>
      </c>
      <c r="EE13" s="13">
        <f t="shared" si="60"/>
        <v>13557.8125</v>
      </c>
      <c r="EF13" s="13">
        <f t="shared" si="67"/>
        <v>891.47260273972597</v>
      </c>
      <c r="EG13" s="17">
        <f t="shared" si="61"/>
        <v>0.6</v>
      </c>
      <c r="EH13" s="197">
        <f t="shared" si="62"/>
        <v>7.8193872323837539</v>
      </c>
      <c r="EJ13" s="13">
        <f t="shared" si="63"/>
        <v>40.738091193351011</v>
      </c>
      <c r="EK13" s="131">
        <f>ET$57</f>
        <v>55.844754542844555</v>
      </c>
      <c r="EL13" s="31">
        <f>ES$59</f>
        <v>0.49603554953398948</v>
      </c>
      <c r="EP13" s="2">
        <v>40678</v>
      </c>
      <c r="EQ13" s="193">
        <v>43054</v>
      </c>
      <c r="ES13" s="17">
        <v>0.57999999999999996</v>
      </c>
      <c r="ET13">
        <v>10.08</v>
      </c>
      <c r="EU13" s="14"/>
      <c r="EV13" s="14"/>
    </row>
    <row r="14" spans="1:176">
      <c r="B14" s="284"/>
      <c r="AD14" s="323"/>
      <c r="AE14" s="288">
        <f t="shared" si="34"/>
        <v>40695</v>
      </c>
      <c r="AF14" s="282"/>
      <c r="AZ14" s="374"/>
      <c r="BA14" s="288">
        <f t="shared" si="35"/>
        <v>40695</v>
      </c>
      <c r="BB14" s="48">
        <f t="shared" si="0"/>
        <v>120.73188009519274</v>
      </c>
      <c r="BC14" s="222">
        <f t="shared" si="36"/>
        <v>1.2871783188282146E-2</v>
      </c>
      <c r="BD14" s="173">
        <f t="shared" si="1"/>
        <v>0</v>
      </c>
      <c r="BE14" s="99">
        <f t="shared" si="37"/>
        <v>0.29980839048016483</v>
      </c>
      <c r="BF14" s="4">
        <f t="shared" si="2"/>
        <v>3.3153529994276454E-3</v>
      </c>
      <c r="BG14" s="3">
        <f t="shared" si="3"/>
        <v>0.31533433172433362</v>
      </c>
      <c r="BH14" s="380"/>
      <c r="BI14" s="378"/>
      <c r="BJ14" s="378"/>
      <c r="BK14" s="378"/>
      <c r="BL14" s="378"/>
      <c r="BM14" s="378"/>
      <c r="BP14" s="158">
        <f t="shared" si="38"/>
        <v>40695</v>
      </c>
      <c r="BQ14" s="373">
        <f>IF($BA$31="d",'Profils de colonie'!I41,IF($BA$31="n",'Profils de colonie'!I69,IF($BA$31="p",'Profils de colonie'!I97,IF($BA$31="a",'Profils de colonie'!I125,IF($BA$31="b",'Profils de colonie'!I153,IF($BA$31="c",'Profils de colonie'!I181,IF($BA$31="r",'Profils de colonie'!I209,IF($BA$31="s",'Profils de colonie'!I237,IF($BA$31="f",'Profils de colonie'!I265,"erreur")))))))))</f>
        <v>20</v>
      </c>
      <c r="BR14">
        <f t="shared" si="4"/>
        <v>40000</v>
      </c>
      <c r="BS14" s="68">
        <f>IF($BA$31="d",'Profils de colonie'!G41,IF($BA$31="n",'Profils de colonie'!G69,IF($BA$31="p",'Profils de colonie'!G97,IF($BA$31="a",'Profils de colonie'!G125,IF($BA$31="b",'Profils de colonie'!G153,IF($BA$31="c",'Profils de colonie'!G181,IF($BA$31="r",'Profils de colonie'!G209,IF($BA$31="s",'Profils de colonie'!G237,IF($BA$31="f",'Profils de colonie'!G265,"erreur")))))))))</f>
        <v>8</v>
      </c>
      <c r="BT14" s="13">
        <f t="shared" si="5"/>
        <v>36000</v>
      </c>
      <c r="BU14" s="17">
        <f t="shared" si="6"/>
        <v>0.9</v>
      </c>
      <c r="BV14">
        <f t="shared" si="39"/>
        <v>21600</v>
      </c>
      <c r="BW14" s="14">
        <f t="shared" si="40"/>
        <v>71.61162478763714</v>
      </c>
      <c r="BX14" s="14">
        <f t="shared" si="7"/>
        <v>1800</v>
      </c>
      <c r="BY14" s="89">
        <f t="shared" si="41"/>
        <v>5.5268025782891312</v>
      </c>
      <c r="BZ14" s="21">
        <f t="shared" si="8"/>
        <v>17.526802578289132</v>
      </c>
      <c r="CA14" s="26">
        <f t="shared" si="9"/>
        <v>0.31533433172433362</v>
      </c>
      <c r="CB14" s="103">
        <f t="shared" si="10"/>
        <v>0.68466566827566644</v>
      </c>
      <c r="CC14" s="22">
        <f t="shared" si="11"/>
        <v>82.660973367552771</v>
      </c>
      <c r="CD14" s="5">
        <f t="shared" si="12"/>
        <v>21600</v>
      </c>
      <c r="CE14" s="67">
        <f>IF($BA$31="d",'Profils de colonie'!K41,IF($BA$31="n",'Profils de colonie'!K69,IF($BA$31="p",'Profils de colonie'!K97,IF($BA$31="a",'Profils de colonie'!K125,IF($BA$31="b",'Profils de colonie'!K153,IF($BA$31="c",'Profils de colonie'!K181,IF($BA$31="r",'Profils de colonie'!K209,IF($BA$31="s",'Profils de colonie'!K209,IF($BA$31="f",'Profils de colonie'!K265,"erreur")))))))))</f>
        <v>0.05</v>
      </c>
      <c r="CF14" s="87">
        <f t="shared" si="42"/>
        <v>3.2000000000000001E-2</v>
      </c>
      <c r="CG14" s="63">
        <f t="shared" si="43"/>
        <v>0.16</v>
      </c>
      <c r="CH14" s="84">
        <f t="shared" si="44"/>
        <v>0.10954650692410663</v>
      </c>
      <c r="CI14" s="60">
        <f t="shared" si="13"/>
        <v>13.225755738808443</v>
      </c>
      <c r="CJ14" s="61">
        <f t="shared" si="45"/>
        <v>1.91344845758224E-2</v>
      </c>
      <c r="CK14" s="266">
        <f t="shared" si="46"/>
        <v>1.8952582375074023E-2</v>
      </c>
      <c r="CL14" s="267">
        <f t="shared" si="47"/>
        <v>1.0095977528100661</v>
      </c>
      <c r="CM14" s="61">
        <f t="shared" si="14"/>
        <v>20.526802578289132</v>
      </c>
      <c r="CN14" s="265">
        <v>1</v>
      </c>
      <c r="CO14" s="71">
        <f t="shared" si="15"/>
        <v>4.2749999999999995</v>
      </c>
      <c r="CP14" s="65">
        <f t="shared" si="48"/>
        <v>9.8493837450082944E-2</v>
      </c>
      <c r="CQ14" s="85">
        <f t="shared" si="49"/>
        <v>0.57511916135155983</v>
      </c>
      <c r="CR14" s="59">
        <f t="shared" si="50"/>
        <v>20908.8</v>
      </c>
      <c r="CS14" s="59">
        <f t="shared" si="16"/>
        <v>69.435217628744326</v>
      </c>
      <c r="CT14" s="62">
        <f t="shared" si="17"/>
        <v>3.3208609594402513E-3</v>
      </c>
      <c r="CU14" s="263">
        <f t="shared" si="51"/>
        <v>3.3153529994276454E-3</v>
      </c>
      <c r="CV14" s="265">
        <f t="shared" si="52"/>
        <v>1.0013593124777078</v>
      </c>
      <c r="CW14" s="64">
        <f t="shared" si="18"/>
        <v>0.84</v>
      </c>
      <c r="CX14" s="62">
        <f t="shared" si="19"/>
        <v>17.526802578289132</v>
      </c>
      <c r="CY14" s="264">
        <v>1</v>
      </c>
      <c r="CZ14" s="70">
        <f t="shared" si="53"/>
        <v>2.2586249999999999</v>
      </c>
      <c r="DA14" s="66">
        <f t="shared" si="20"/>
        <v>6.518049768398862E-2</v>
      </c>
      <c r="DB14" s="91">
        <f t="shared" si="21"/>
        <v>4.8276209010700163E-2</v>
      </c>
      <c r="DC14" s="23">
        <f t="shared" si="22"/>
        <v>-6.0180723255630212E-3</v>
      </c>
      <c r="DD14" s="28">
        <f t="shared" si="23"/>
        <v>4.2258136685137143E-2</v>
      </c>
      <c r="DE14" s="315">
        <f t="shared" si="54"/>
        <v>46.161013916223446</v>
      </c>
      <c r="DF14" s="270">
        <f t="shared" si="69"/>
        <v>120.73188009519274</v>
      </c>
      <c r="DG14" s="178">
        <f t="shared" si="24"/>
        <v>84.512316066634909</v>
      </c>
      <c r="DH14" s="178">
        <f t="shared" si="70"/>
        <v>42.591202924131458</v>
      </c>
      <c r="DJ14" s="13">
        <f t="shared" si="25"/>
        <v>166.89289401141619</v>
      </c>
      <c r="DK14" s="199">
        <f t="shared" si="55"/>
        <v>14.596679596470466</v>
      </c>
      <c r="DL14" s="107">
        <f t="shared" si="26"/>
        <v>152.29621441494572</v>
      </c>
      <c r="DM14" s="182">
        <f>'Immigration de varroas'!E22</f>
        <v>0</v>
      </c>
      <c r="DN14" s="109">
        <f t="shared" si="56"/>
        <v>-5.4581188231165729</v>
      </c>
      <c r="DO14" s="82">
        <f t="shared" si="64"/>
        <v>-5.4581188231165729</v>
      </c>
      <c r="DP14" s="198">
        <f t="shared" si="27"/>
        <v>146.83809559182916</v>
      </c>
      <c r="DQ14" s="278">
        <f>EU$32</f>
        <v>0</v>
      </c>
      <c r="DR14" s="107">
        <f t="shared" si="57"/>
        <v>0</v>
      </c>
      <c r="DS14" s="79">
        <f t="shared" si="28"/>
        <v>146.83809559182916</v>
      </c>
      <c r="DT14" s="23">
        <f t="shared" si="29"/>
        <v>1.2871783188282146E-2</v>
      </c>
      <c r="DU14" s="158">
        <f t="shared" si="30"/>
        <v>40695</v>
      </c>
      <c r="DV14" s="74">
        <f t="shared" si="31"/>
        <v>38.070906727639979</v>
      </c>
      <c r="DW14" s="23">
        <f t="shared" si="32"/>
        <v>9.5177266819099953E-4</v>
      </c>
      <c r="DX14" s="114">
        <f t="shared" si="33"/>
        <v>0.29980839048016483</v>
      </c>
      <c r="DY14" t="str">
        <f t="shared" si="65"/>
        <v/>
      </c>
      <c r="DZ14" t="str">
        <f t="shared" si="66"/>
        <v/>
      </c>
      <c r="EB14">
        <f t="shared" si="68"/>
        <v>0</v>
      </c>
      <c r="EC14" s="13">
        <f t="shared" si="58"/>
        <v>21557.8125</v>
      </c>
      <c r="ED14" s="14">
        <f t="shared" si="59"/>
        <v>12000</v>
      </c>
      <c r="EE14" s="13">
        <f t="shared" si="60"/>
        <v>9557.8125</v>
      </c>
      <c r="EF14" s="13">
        <f t="shared" si="67"/>
        <v>628.45890410958907</v>
      </c>
      <c r="EG14" s="17">
        <f t="shared" si="61"/>
        <v>0.6</v>
      </c>
      <c r="EH14" s="197">
        <f t="shared" si="62"/>
        <v>5.4581188231165729</v>
      </c>
      <c r="EJ14" s="13">
        <f t="shared" si="63"/>
        <v>46.161013916223446</v>
      </c>
      <c r="EK14" s="131">
        <f>EU$57</f>
        <v>72.262086892113203</v>
      </c>
      <c r="EL14" s="31">
        <f>ET$59</f>
        <v>0.36423599242956095</v>
      </c>
      <c r="EP14" s="2">
        <v>40695</v>
      </c>
      <c r="EQ14" s="193">
        <v>43070</v>
      </c>
      <c r="ES14" s="17">
        <v>0.56999999999999995</v>
      </c>
      <c r="EU14" s="14"/>
      <c r="EV14" s="14"/>
    </row>
    <row r="15" spans="1:176" ht="16" customHeight="1">
      <c r="B15" s="284"/>
      <c r="AD15" s="323"/>
      <c r="AE15" s="288">
        <f t="shared" si="34"/>
        <v>40709</v>
      </c>
      <c r="AF15" s="282"/>
      <c r="AZ15" s="374"/>
      <c r="BA15" s="288">
        <f t="shared" si="35"/>
        <v>40709</v>
      </c>
      <c r="BB15" s="48">
        <f t="shared" si="0"/>
        <v>146.83809559182916</v>
      </c>
      <c r="BC15" s="222">
        <f t="shared" si="36"/>
        <v>1.4667254434210601E-2</v>
      </c>
      <c r="BD15" s="173">
        <f t="shared" si="1"/>
        <v>0</v>
      </c>
      <c r="BE15" s="99">
        <f t="shared" si="37"/>
        <v>0.33648308495058588</v>
      </c>
      <c r="BF15" s="4">
        <f t="shared" si="2"/>
        <v>3.8318921238380543E-3</v>
      </c>
      <c r="BG15" s="3">
        <f t="shared" si="3"/>
        <v>0.34918467675703302</v>
      </c>
      <c r="BH15" s="381" t="s">
        <v>394</v>
      </c>
      <c r="BI15" s="378" t="s">
        <v>106</v>
      </c>
      <c r="BJ15" s="378"/>
      <c r="BK15" s="378"/>
      <c r="BL15" s="378"/>
      <c r="BM15" s="378"/>
      <c r="BP15" s="158">
        <f t="shared" si="38"/>
        <v>40709</v>
      </c>
      <c r="BQ15" s="373">
        <f>IF($BA$31="d",'Profils de colonie'!I42,IF($BA$31="n",'Profils de colonie'!I70,IF($BA$31="p",'Profils de colonie'!I98,IF($BA$31="a",'Profils de colonie'!I126,IF($BA$31="b",'Profils de colonie'!I154,IF($BA$31="c",'Profils de colonie'!I182,IF($BA$31="r",'Profils de colonie'!I210,IF($BA$31="s",'Profils de colonie'!I238,IF($BA$31="f",'Profils de colonie'!I266,"erreur")))))))))</f>
        <v>24</v>
      </c>
      <c r="BR15">
        <f t="shared" si="4"/>
        <v>48000</v>
      </c>
      <c r="BS15" s="68">
        <f>IF($BA$31="d",'Profils de colonie'!G42,IF($BA$31="n",'Profils de colonie'!G70,IF($BA$31="p",'Profils de colonie'!G98,IF($BA$31="a",'Profils de colonie'!G126,IF($BA$31="b",'Profils de colonie'!G154,IF($BA$31="c",'Profils de colonie'!G182,IF($BA$31="r",'Profils de colonie'!G210,IF($BA$31="s",'Profils de colonie'!G238,IF($BA$31="f",'Profils de colonie'!G266,"erreur")))))))))</f>
        <v>8</v>
      </c>
      <c r="BT15" s="13">
        <f t="shared" si="5"/>
        <v>36000</v>
      </c>
      <c r="BU15" s="17">
        <f t="shared" si="6"/>
        <v>0.75</v>
      </c>
      <c r="BV15">
        <f t="shared" si="39"/>
        <v>21600</v>
      </c>
      <c r="BW15" s="14">
        <f t="shared" si="40"/>
        <v>82.768869874901981</v>
      </c>
      <c r="BX15" s="14">
        <f t="shared" si="7"/>
        <v>1800</v>
      </c>
      <c r="BY15" s="89">
        <f t="shared" si="41"/>
        <v>6.4384103622589048</v>
      </c>
      <c r="BZ15" s="21">
        <f t="shared" si="8"/>
        <v>18.438410362258907</v>
      </c>
      <c r="CA15" s="26">
        <f t="shared" si="9"/>
        <v>0.34918467675703302</v>
      </c>
      <c r="CB15" s="103">
        <f t="shared" si="10"/>
        <v>0.65081532324296698</v>
      </c>
      <c r="CC15" s="22">
        <f t="shared" si="11"/>
        <v>95.564482646977979</v>
      </c>
      <c r="CD15" s="5">
        <f t="shared" si="12"/>
        <v>21600</v>
      </c>
      <c r="CE15" s="67">
        <f>IF($BA$31="d",'Profils de colonie'!K42,IF($BA$31="n",'Profils de colonie'!K70,IF($BA$31="p",'Profils de colonie'!K98,IF($BA$31="a",'Profils de colonie'!K126,IF($BA$31="b",'Profils de colonie'!K154,IF($BA$31="c",'Profils de colonie'!K182,IF($BA$31="r",'Profils de colonie'!K210,IF($BA$31="s",'Profils de colonie'!K210,IF($BA$31="f",'Profils de colonie'!K266,"erreur")))))))))</f>
        <v>0.05</v>
      </c>
      <c r="CF15" s="87">
        <f t="shared" si="42"/>
        <v>3.2000000000000001E-2</v>
      </c>
      <c r="CG15" s="63">
        <f t="shared" si="43"/>
        <v>0.16</v>
      </c>
      <c r="CH15" s="84">
        <f t="shared" si="44"/>
        <v>0.10413045171887472</v>
      </c>
      <c r="CI15" s="60">
        <f t="shared" si="13"/>
        <v>15.290317223516476</v>
      </c>
      <c r="CJ15" s="61">
        <f t="shared" si="45"/>
        <v>2.2121408020133789E-2</v>
      </c>
      <c r="CK15" s="266">
        <f t="shared" si="46"/>
        <v>2.1878523949649287E-2</v>
      </c>
      <c r="CL15" s="267">
        <f t="shared" si="47"/>
        <v>1.0111014834018726</v>
      </c>
      <c r="CM15" s="61">
        <f t="shared" si="14"/>
        <v>21.438410362258907</v>
      </c>
      <c r="CN15" s="265">
        <v>1</v>
      </c>
      <c r="CO15" s="71">
        <f t="shared" si="15"/>
        <v>4.2749999999999995</v>
      </c>
      <c r="CP15" s="65">
        <f t="shared" si="48"/>
        <v>9.8493837450082944E-2</v>
      </c>
      <c r="CQ15" s="85">
        <f t="shared" si="49"/>
        <v>0.54668487152409229</v>
      </c>
      <c r="CR15" s="59">
        <f t="shared" si="50"/>
        <v>20908.8</v>
      </c>
      <c r="CS15" s="59">
        <f t="shared" si="16"/>
        <v>80.274165423461497</v>
      </c>
      <c r="CT15" s="62">
        <f t="shared" si="17"/>
        <v>3.8392526315934677E-3</v>
      </c>
      <c r="CU15" s="263">
        <f t="shared" si="51"/>
        <v>3.8318921238380543E-3</v>
      </c>
      <c r="CV15" s="265">
        <f t="shared" si="52"/>
        <v>1.001659453892755</v>
      </c>
      <c r="CW15" s="64">
        <f t="shared" si="18"/>
        <v>0.84</v>
      </c>
      <c r="CX15" s="62">
        <f t="shared" si="19"/>
        <v>18.438410362258907</v>
      </c>
      <c r="CY15" s="264">
        <v>1</v>
      </c>
      <c r="CZ15" s="70">
        <f t="shared" si="53"/>
        <v>2.2586249999999999</v>
      </c>
      <c r="DA15" s="66">
        <f t="shared" si="20"/>
        <v>6.518049768398862E-2</v>
      </c>
      <c r="DB15" s="91">
        <f t="shared" si="21"/>
        <v>4.5889399787450269E-2</v>
      </c>
      <c r="DC15" s="23">
        <f t="shared" si="22"/>
        <v>-6.0180723255630212E-3</v>
      </c>
      <c r="DD15" s="28">
        <f t="shared" si="23"/>
        <v>3.9871327461887249E-2</v>
      </c>
      <c r="DE15" s="315">
        <f t="shared" si="54"/>
        <v>65.970886076971439</v>
      </c>
      <c r="DF15" s="270">
        <f t="shared" si="69"/>
        <v>146.83809559182916</v>
      </c>
      <c r="DG15" s="178">
        <f t="shared" si="24"/>
        <v>102.7866669142804</v>
      </c>
      <c r="DH15" s="178">
        <f t="shared" si="70"/>
        <v>65.348063282230768</v>
      </c>
      <c r="DJ15" s="13">
        <f t="shared" si="25"/>
        <v>212.80898166880058</v>
      </c>
      <c r="DK15" s="199">
        <f t="shared" si="55"/>
        <v>18.612563099649719</v>
      </c>
      <c r="DL15" s="107">
        <f t="shared" si="26"/>
        <v>194.19641856915086</v>
      </c>
      <c r="DM15" s="182">
        <f>'Immigration de varroas'!E23</f>
        <v>0</v>
      </c>
      <c r="DN15" s="109">
        <f t="shared" si="56"/>
        <v>-10.663309192124519</v>
      </c>
      <c r="DO15" s="82">
        <f t="shared" si="64"/>
        <v>-10.663309192124519</v>
      </c>
      <c r="DP15" s="198">
        <f t="shared" si="27"/>
        <v>183.53310937702634</v>
      </c>
      <c r="DQ15" s="278">
        <f>EV$32</f>
        <v>0</v>
      </c>
      <c r="DR15" s="107">
        <f t="shared" si="57"/>
        <v>0</v>
      </c>
      <c r="DS15" s="79">
        <f t="shared" si="28"/>
        <v>183.53310937702634</v>
      </c>
      <c r="DT15" s="23">
        <f t="shared" si="29"/>
        <v>1.4667254434210601E-2</v>
      </c>
      <c r="DU15" s="158">
        <f t="shared" si="30"/>
        <v>40709</v>
      </c>
      <c r="DV15" s="74">
        <f t="shared" si="31"/>
        <v>51.27361294485118</v>
      </c>
      <c r="DW15" s="23">
        <f t="shared" si="32"/>
        <v>1.0682002696843996E-3</v>
      </c>
      <c r="DX15" s="114">
        <f t="shared" si="33"/>
        <v>0.33648308495058588</v>
      </c>
      <c r="DY15" t="str">
        <f t="shared" si="65"/>
        <v/>
      </c>
      <c r="DZ15" t="str">
        <f t="shared" si="66"/>
        <v/>
      </c>
      <c r="EB15">
        <f t="shared" si="68"/>
        <v>0</v>
      </c>
      <c r="EC15" s="13">
        <f t="shared" si="58"/>
        <v>24637.5</v>
      </c>
      <c r="ED15" s="14">
        <f t="shared" si="59"/>
        <v>8000</v>
      </c>
      <c r="EE15" s="13">
        <f t="shared" si="60"/>
        <v>16637.5</v>
      </c>
      <c r="EF15" s="13">
        <f t="shared" si="67"/>
        <v>1093.972602739726</v>
      </c>
      <c r="EG15" s="17">
        <f t="shared" si="61"/>
        <v>0.6</v>
      </c>
      <c r="EH15" s="197">
        <f t="shared" si="62"/>
        <v>10.663309192124519</v>
      </c>
      <c r="EJ15" s="13">
        <f t="shared" si="63"/>
        <v>65.970886076971439</v>
      </c>
      <c r="EK15" s="131">
        <f>EV$57</f>
        <v>66.024674006226704</v>
      </c>
      <c r="EL15" s="31">
        <f>EU$59</f>
        <v>0.38799020420560704</v>
      </c>
      <c r="EP15" s="2">
        <v>40709</v>
      </c>
      <c r="EQ15" s="193">
        <v>43084</v>
      </c>
      <c r="ES15" s="17">
        <v>0.55000000000000004</v>
      </c>
      <c r="ET15">
        <v>5.9849999999999994</v>
      </c>
      <c r="EU15" s="14"/>
      <c r="EV15" s="14"/>
    </row>
    <row r="16" spans="1:176">
      <c r="B16" s="284"/>
      <c r="AD16" s="323"/>
      <c r="AE16" s="288">
        <f t="shared" si="34"/>
        <v>40725</v>
      </c>
      <c r="AF16" s="282"/>
      <c r="AZ16" s="374"/>
      <c r="BA16" s="288">
        <f t="shared" si="35"/>
        <v>40725</v>
      </c>
      <c r="BB16" s="48">
        <f t="shared" si="0"/>
        <v>183.53310937702634</v>
      </c>
      <c r="BC16" s="222">
        <f t="shared" si="36"/>
        <v>9.8625508219236328E-3</v>
      </c>
      <c r="BD16" s="173">
        <f t="shared" si="1"/>
        <v>0</v>
      </c>
      <c r="BE16" s="99">
        <f t="shared" si="37"/>
        <v>0.45382869313241625</v>
      </c>
      <c r="BF16" s="4">
        <f t="shared" si="2"/>
        <v>5.8011938624379367E-3</v>
      </c>
      <c r="BG16" s="3">
        <f t="shared" si="3"/>
        <v>0.40819747876224383</v>
      </c>
      <c r="BH16" s="380"/>
      <c r="BI16" s="378"/>
      <c r="BJ16" s="378"/>
      <c r="BK16" s="378"/>
      <c r="BL16" s="378"/>
      <c r="BM16" s="378"/>
      <c r="BP16" s="158">
        <f t="shared" si="38"/>
        <v>40725</v>
      </c>
      <c r="BQ16" s="373">
        <f>IF($BA$31="d",'Profils de colonie'!I43,IF($BA$31="n",'Profils de colonie'!I71,IF($BA$31="p",'Profils de colonie'!I99,IF($BA$31="a",'Profils de colonie'!I127,IF($BA$31="b",'Profils de colonie'!I155,IF($BA$31="c",'Profils de colonie'!I183,IF($BA$31="r",'Profils de colonie'!I211,IF($BA$31="s",'Profils de colonie'!I239,IF($BA$31="f",'Profils de colonie'!I267,"erreur")))))))))</f>
        <v>26</v>
      </c>
      <c r="BR16">
        <f t="shared" si="4"/>
        <v>52000</v>
      </c>
      <c r="BS16" s="68">
        <f>IF($BA$31="d",'Profils de colonie'!G43,IF($BA$31="n",'Profils de colonie'!G71,IF($BA$31="p",'Profils de colonie'!G99,IF($BA$31="a",'Profils de colonie'!G127,IF($BA$31="b",'Profils de colonie'!G155,IF($BA$31="c",'Profils de colonie'!G183,IF($BA$31="r",'Profils de colonie'!G211,IF($BA$31="s",'Profils de colonie'!G239,IF($BA$31="f",'Profils de colonie'!G267,"erreur")))))))))</f>
        <v>6</v>
      </c>
      <c r="BT16" s="13">
        <f t="shared" si="5"/>
        <v>27000</v>
      </c>
      <c r="BU16" s="17">
        <f t="shared" si="6"/>
        <v>0.51923076923076927</v>
      </c>
      <c r="BV16">
        <f t="shared" si="39"/>
        <v>16200</v>
      </c>
      <c r="BW16" s="14">
        <f t="shared" si="40"/>
        <v>93.979340571494575</v>
      </c>
      <c r="BX16" s="14">
        <f t="shared" si="7"/>
        <v>1350</v>
      </c>
      <c r="BY16" s="89">
        <f t="shared" si="41"/>
        <v>8.2770342628854898</v>
      </c>
      <c r="BZ16" s="21">
        <f t="shared" si="8"/>
        <v>20.27703426288549</v>
      </c>
      <c r="CA16" s="26">
        <f t="shared" si="9"/>
        <v>0.40819747876224383</v>
      </c>
      <c r="CB16" s="103">
        <f t="shared" si="10"/>
        <v>0.59180252123775623</v>
      </c>
      <c r="CC16" s="22">
        <f t="shared" si="11"/>
        <v>108.61535685992907</v>
      </c>
      <c r="CD16" s="5">
        <f t="shared" si="12"/>
        <v>16200</v>
      </c>
      <c r="CE16" s="67">
        <f>IF($BA$31="d",'Profils de colonie'!K43,IF($BA$31="n",'Profils de colonie'!K71,IF($BA$31="p",'Profils de colonie'!K99,IF($BA$31="a",'Profils de colonie'!K127,IF($BA$31="b",'Profils de colonie'!K155,IF($BA$31="c",'Profils de colonie'!K183,IF($BA$31="r",'Profils de colonie'!K211,IF($BA$31="s",'Profils de colonie'!K211,IF($BA$31="f",'Profils de colonie'!K267,"erreur")))))))))</f>
        <v>0.05</v>
      </c>
      <c r="CF16" s="87">
        <f t="shared" si="42"/>
        <v>3.2000000000000001E-2</v>
      </c>
      <c r="CG16" s="63">
        <f t="shared" si="43"/>
        <v>0.16</v>
      </c>
      <c r="CH16" s="84">
        <f t="shared" si="44"/>
        <v>9.4688403398040993E-2</v>
      </c>
      <c r="CI16" s="60">
        <f t="shared" si="13"/>
        <v>17.378457097588651</v>
      </c>
      <c r="CJ16" s="61">
        <f t="shared" si="45"/>
        <v>3.3523258290101568E-2</v>
      </c>
      <c r="CK16" s="266">
        <f t="shared" si="46"/>
        <v>3.2967580550705478E-2</v>
      </c>
      <c r="CL16" s="267">
        <f t="shared" si="47"/>
        <v>1.0168552781282034</v>
      </c>
      <c r="CM16" s="61">
        <f t="shared" si="14"/>
        <v>23.27703426288549</v>
      </c>
      <c r="CN16" s="265">
        <v>1</v>
      </c>
      <c r="CO16" s="71">
        <f t="shared" si="15"/>
        <v>4.2749999999999995</v>
      </c>
      <c r="CP16" s="65">
        <f t="shared" si="48"/>
        <v>9.8493837450082944E-2</v>
      </c>
      <c r="CQ16" s="85">
        <f t="shared" si="49"/>
        <v>0.49711411783971526</v>
      </c>
      <c r="CR16" s="59">
        <f t="shared" si="50"/>
        <v>15681.6</v>
      </c>
      <c r="CS16" s="59">
        <f t="shared" si="16"/>
        <v>91.236899762340414</v>
      </c>
      <c r="CT16" s="62">
        <f t="shared" si="17"/>
        <v>5.8180861495217588E-3</v>
      </c>
      <c r="CU16" s="263">
        <f t="shared" si="51"/>
        <v>5.8011938624379367E-3</v>
      </c>
      <c r="CV16" s="265">
        <f t="shared" si="52"/>
        <v>1.0027390134594958</v>
      </c>
      <c r="CW16" s="64">
        <f t="shared" si="18"/>
        <v>0.84</v>
      </c>
      <c r="CX16" s="62">
        <f t="shared" si="19"/>
        <v>20.27703426288549</v>
      </c>
      <c r="CY16" s="264">
        <v>1</v>
      </c>
      <c r="CZ16" s="70">
        <f t="shared" si="53"/>
        <v>2.2586249999999999</v>
      </c>
      <c r="DA16" s="66">
        <f t="shared" si="20"/>
        <v>6.518049768398862E-2</v>
      </c>
      <c r="DB16" s="91">
        <f t="shared" si="21"/>
        <v>4.1728369819224134E-2</v>
      </c>
      <c r="DC16" s="23">
        <f t="shared" si="22"/>
        <v>-6.0180723255630212E-3</v>
      </c>
      <c r="DD16" s="28">
        <f t="shared" si="23"/>
        <v>3.5710297493661114E-2</v>
      </c>
      <c r="DE16" s="315">
        <f t="shared" si="54"/>
        <v>69.687225551393183</v>
      </c>
      <c r="DF16" s="270">
        <f t="shared" si="69"/>
        <v>183.53310937702634</v>
      </c>
      <c r="DG16" s="178">
        <f t="shared" si="24"/>
        <v>128.47317656391843</v>
      </c>
      <c r="DH16" s="178">
        <f t="shared" si="70"/>
        <v>78.626842553940705</v>
      </c>
      <c r="DJ16" s="13">
        <f t="shared" si="25"/>
        <v>253.2203349284195</v>
      </c>
      <c r="DK16" s="199">
        <f t="shared" si="55"/>
        <v>22.146995042270902</v>
      </c>
      <c r="DL16" s="107">
        <f t="shared" si="26"/>
        <v>231.0733398861486</v>
      </c>
      <c r="DM16" s="182">
        <f>'Immigration de varroas'!E24</f>
        <v>0</v>
      </c>
      <c r="DN16" s="109">
        <f t="shared" si="56"/>
        <v>-17.839789818133791</v>
      </c>
      <c r="DO16" s="82">
        <f t="shared" si="64"/>
        <v>-17.839789818133791</v>
      </c>
      <c r="DP16" s="198">
        <f t="shared" si="27"/>
        <v>213.23355006801481</v>
      </c>
      <c r="DQ16" s="278">
        <f>EW$32</f>
        <v>0</v>
      </c>
      <c r="DR16" s="107">
        <f t="shared" si="57"/>
        <v>0</v>
      </c>
      <c r="DS16" s="79">
        <f t="shared" si="28"/>
        <v>213.23355006801481</v>
      </c>
      <c r="DT16" s="23">
        <f t="shared" si="29"/>
        <v>9.8625508219236328E-3</v>
      </c>
      <c r="DU16" s="158">
        <f t="shared" si="30"/>
        <v>40725</v>
      </c>
      <c r="DV16" s="74">
        <f t="shared" si="31"/>
        <v>74.917752517097284</v>
      </c>
      <c r="DW16" s="23">
        <f t="shared" si="32"/>
        <v>1.4407260099441785E-3</v>
      </c>
      <c r="DX16" s="114">
        <f t="shared" si="33"/>
        <v>0.45382869313241625</v>
      </c>
      <c r="DY16" t="str">
        <f t="shared" si="65"/>
        <v/>
      </c>
      <c r="DZ16" t="str">
        <f t="shared" si="66"/>
        <v/>
      </c>
      <c r="EB16">
        <f t="shared" si="68"/>
        <v>0</v>
      </c>
      <c r="EC16" s="13">
        <f t="shared" si="58"/>
        <v>24637.5</v>
      </c>
      <c r="ED16" s="14">
        <f t="shared" si="59"/>
        <v>4000</v>
      </c>
      <c r="EE16" s="13">
        <f t="shared" si="60"/>
        <v>20637.5</v>
      </c>
      <c r="EF16" s="13">
        <f t="shared" si="67"/>
        <v>1356.986301369863</v>
      </c>
      <c r="EG16" s="17">
        <f t="shared" si="61"/>
        <v>0.6</v>
      </c>
      <c r="EH16" s="197">
        <f t="shared" si="62"/>
        <v>17.839789818133791</v>
      </c>
      <c r="EJ16" s="13">
        <f t="shared" si="63"/>
        <v>69.687225551393183</v>
      </c>
      <c r="EK16" s="131">
        <f>EW$57</f>
        <v>60.325652982273404</v>
      </c>
      <c r="EL16" s="31">
        <f>EV$59</f>
        <v>0.27959749187979194</v>
      </c>
      <c r="EP16" s="2">
        <v>40725</v>
      </c>
      <c r="EQ16" s="193">
        <v>43101</v>
      </c>
      <c r="ES16" s="17">
        <v>0.55000000000000004</v>
      </c>
      <c r="EU16" s="14"/>
      <c r="EV16" s="14"/>
    </row>
    <row r="17" spans="2:164" ht="16" customHeight="1">
      <c r="B17" s="284"/>
      <c r="AD17" s="323"/>
      <c r="AE17" s="288">
        <f t="shared" si="34"/>
        <v>40739</v>
      </c>
      <c r="AF17" s="274"/>
      <c r="AZ17" s="374"/>
      <c r="BA17" s="288">
        <f t="shared" si="35"/>
        <v>40739</v>
      </c>
      <c r="BB17" s="48">
        <f t="shared" si="0"/>
        <v>213.23355006801481</v>
      </c>
      <c r="BC17" s="222">
        <f t="shared" si="36"/>
        <v>1.22373795972211E-2</v>
      </c>
      <c r="BD17" s="173">
        <f t="shared" si="1"/>
        <v>0</v>
      </c>
      <c r="BE17" s="99">
        <f t="shared" si="37"/>
        <v>0.56015853399290849</v>
      </c>
      <c r="BF17" s="4">
        <f t="shared" si="2"/>
        <v>7.7324887331420289E-3</v>
      </c>
      <c r="BG17" s="3">
        <f t="shared" si="3"/>
        <v>0.43365884545767797</v>
      </c>
      <c r="BH17" s="381">
        <v>25</v>
      </c>
      <c r="BI17" s="378" t="s">
        <v>107</v>
      </c>
      <c r="BJ17" s="378"/>
      <c r="BK17" s="378"/>
      <c r="BL17" s="378"/>
      <c r="BM17" s="378"/>
      <c r="BP17" s="158">
        <f t="shared" si="38"/>
        <v>40739</v>
      </c>
      <c r="BQ17" s="373">
        <f>IF($BA$31="d",'Profils de colonie'!I44,IF($BA$31="n",'Profils de colonie'!I72,IF($BA$31="p",'Profils de colonie'!I100,IF($BA$31="a",'Profils de colonie'!I128,IF($BA$31="b",'Profils de colonie'!I156,IF($BA$31="c",'Profils de colonie'!I184,IF($BA$31="r",'Profils de colonie'!I212,IF($BA$31="s",'Profils de colonie'!I240,IF($BA$31="f",'Profils de colonie'!I268,"erreur")))))))))</f>
        <v>26</v>
      </c>
      <c r="BR17">
        <f t="shared" si="4"/>
        <v>52000</v>
      </c>
      <c r="BS17" s="68">
        <f>IF($BA$31="d",'Profils de colonie'!G44,IF($BA$31="n",'Profils de colonie'!G72,IF($BA$31="p",'Profils de colonie'!G100,IF($BA$31="a",'Profils de colonie'!G128,IF($BA$31="b",'Profils de colonie'!G156,IF($BA$31="c",'Profils de colonie'!G184,IF($BA$31="r",'Profils de colonie'!G212,IF($BA$31="s",'Profils de colonie'!G240,IF($BA$31="f",'Profils de colonie'!G268,"erreur")))))))))</f>
        <v>5</v>
      </c>
      <c r="BT17" s="13">
        <f t="shared" si="5"/>
        <v>22500</v>
      </c>
      <c r="BU17" s="17">
        <f t="shared" si="6"/>
        <v>0.43269230769230771</v>
      </c>
      <c r="BV17">
        <f t="shared" si="39"/>
        <v>13500</v>
      </c>
      <c r="BW17" s="14">
        <f t="shared" si="40"/>
        <v>104.38859789741738</v>
      </c>
      <c r="BX17" s="14">
        <f t="shared" si="7"/>
        <v>1125</v>
      </c>
      <c r="BY17" s="89">
        <f t="shared" si="41"/>
        <v>9.1886420468552643</v>
      </c>
      <c r="BZ17" s="21">
        <f t="shared" si="8"/>
        <v>21.188642046855264</v>
      </c>
      <c r="CA17" s="26">
        <f t="shared" si="9"/>
        <v>0.43365884545767797</v>
      </c>
      <c r="CB17" s="103">
        <f t="shared" si="10"/>
        <v>0.56634115454232203</v>
      </c>
      <c r="CC17" s="22">
        <f t="shared" si="11"/>
        <v>120.76293493267754</v>
      </c>
      <c r="CD17" s="5">
        <f t="shared" si="12"/>
        <v>13500</v>
      </c>
      <c r="CE17" s="67">
        <f>IF($BA$31="d",'Profils de colonie'!K44,IF($BA$31="n",'Profils de colonie'!K72,IF($BA$31="p",'Profils de colonie'!K100,IF($BA$31="a",'Profils de colonie'!K128,IF($BA$31="b",'Profils de colonie'!K156,IF($BA$31="c",'Profils de colonie'!K184,IF($BA$31="r",'Profils de colonie'!K212,IF($BA$31="s",'Profils de colonie'!K212,IF($BA$31="f",'Profils de colonie'!K268,"erreur")))))))))</f>
        <v>0.05</v>
      </c>
      <c r="CF17" s="87">
        <f t="shared" si="42"/>
        <v>3.2000000000000001E-2</v>
      </c>
      <c r="CG17" s="63">
        <f t="shared" si="43"/>
        <v>0.16</v>
      </c>
      <c r="CH17" s="84">
        <f t="shared" si="44"/>
        <v>9.061458472677153E-2</v>
      </c>
      <c r="CI17" s="60">
        <f t="shared" si="13"/>
        <v>19.322069589228406</v>
      </c>
      <c r="CJ17" s="61">
        <f t="shared" si="45"/>
        <v>4.4727012938028714E-2</v>
      </c>
      <c r="CK17" s="266">
        <f t="shared" si="46"/>
        <v>4.3741507598449303E-2</v>
      </c>
      <c r="CL17" s="267">
        <f t="shared" si="47"/>
        <v>1.022530209718111</v>
      </c>
      <c r="CM17" s="61">
        <f t="shared" si="14"/>
        <v>24.188642046855264</v>
      </c>
      <c r="CN17" s="265">
        <v>1</v>
      </c>
      <c r="CO17" s="71">
        <f t="shared" si="15"/>
        <v>4.2749999999999995</v>
      </c>
      <c r="CP17" s="65">
        <f t="shared" si="48"/>
        <v>9.8493837450082944E-2</v>
      </c>
      <c r="CQ17" s="85">
        <f t="shared" si="49"/>
        <v>0.4757265698155505</v>
      </c>
      <c r="CR17" s="59">
        <f t="shared" si="50"/>
        <v>13068</v>
      </c>
      <c r="CS17" s="59">
        <f t="shared" si="16"/>
        <v>101.44086534344913</v>
      </c>
      <c r="CT17" s="62">
        <f t="shared" si="17"/>
        <v>7.7625394355256457E-3</v>
      </c>
      <c r="CU17" s="263">
        <f t="shared" si="51"/>
        <v>7.7324887331420289E-3</v>
      </c>
      <c r="CV17" s="265">
        <f t="shared" si="52"/>
        <v>1.0037564808569668</v>
      </c>
      <c r="CW17" s="64">
        <f t="shared" si="18"/>
        <v>0.84</v>
      </c>
      <c r="CX17" s="62">
        <f t="shared" si="19"/>
        <v>21.188642046855264</v>
      </c>
      <c r="CY17" s="264">
        <v>1</v>
      </c>
      <c r="CZ17" s="70">
        <f t="shared" si="53"/>
        <v>2.2586249999999999</v>
      </c>
      <c r="DA17" s="66">
        <f t="shared" si="20"/>
        <v>6.518049768398862E-2</v>
      </c>
      <c r="DB17" s="91">
        <f t="shared" si="21"/>
        <v>3.9933072760759747E-2</v>
      </c>
      <c r="DC17" s="23">
        <f t="shared" si="22"/>
        <v>-6.0180723255630212E-3</v>
      </c>
      <c r="DD17" s="28">
        <f t="shared" si="23"/>
        <v>3.3915000435196727E-2</v>
      </c>
      <c r="DE17" s="315">
        <f t="shared" si="54"/>
        <v>89.840854024082603</v>
      </c>
      <c r="DF17" s="270">
        <f t="shared" si="69"/>
        <v>213.23355006801481</v>
      </c>
      <c r="DG17" s="178">
        <f t="shared" si="24"/>
        <v>149.26348504761035</v>
      </c>
      <c r="DH17" s="178">
        <f t="shared" si="70"/>
        <v>107.52978899906168</v>
      </c>
      <c r="DJ17" s="13">
        <f t="shared" si="25"/>
        <v>303.07440409209744</v>
      </c>
      <c r="DK17" s="199">
        <f t="shared" si="55"/>
        <v>26.507299766285769</v>
      </c>
      <c r="DL17" s="107">
        <f t="shared" si="26"/>
        <v>276.56710432581167</v>
      </c>
      <c r="DM17" s="182">
        <f>'Immigration de varroas'!E25</f>
        <v>0</v>
      </c>
      <c r="DN17" s="109">
        <f t="shared" si="56"/>
        <v>-19.715579830357544</v>
      </c>
      <c r="DO17" s="82">
        <f t="shared" si="64"/>
        <v>-19.715579830357544</v>
      </c>
      <c r="DP17" s="198">
        <f t="shared" si="27"/>
        <v>256.8515244954541</v>
      </c>
      <c r="DQ17" s="278">
        <f>EX$32</f>
        <v>0</v>
      </c>
      <c r="DR17" s="107">
        <f t="shared" si="57"/>
        <v>0</v>
      </c>
      <c r="DS17" s="79">
        <f t="shared" si="28"/>
        <v>256.8515244954541</v>
      </c>
      <c r="DT17" s="23">
        <f t="shared" si="29"/>
        <v>1.22373795972211E-2</v>
      </c>
      <c r="DU17" s="158">
        <f t="shared" si="30"/>
        <v>40739</v>
      </c>
      <c r="DV17" s="74">
        <f t="shared" si="31"/>
        <v>92.470615135337269</v>
      </c>
      <c r="DW17" s="23">
        <f t="shared" si="32"/>
        <v>1.7782810602949475E-3</v>
      </c>
      <c r="DX17" s="114">
        <f t="shared" si="33"/>
        <v>0.56015853399290849</v>
      </c>
      <c r="DY17" t="str">
        <f t="shared" si="65"/>
        <v/>
      </c>
      <c r="DZ17" t="str">
        <f t="shared" si="66"/>
        <v/>
      </c>
      <c r="EB17">
        <f t="shared" si="68"/>
        <v>0</v>
      </c>
      <c r="EC17" s="13">
        <f t="shared" si="58"/>
        <v>18478.125</v>
      </c>
      <c r="ED17" s="14">
        <f t="shared" si="59"/>
        <v>0</v>
      </c>
      <c r="EE17" s="13">
        <f t="shared" si="60"/>
        <v>18478.125</v>
      </c>
      <c r="EF17" s="13">
        <f t="shared" si="67"/>
        <v>1215</v>
      </c>
      <c r="EG17" s="17">
        <f t="shared" si="61"/>
        <v>0.6</v>
      </c>
      <c r="EH17" s="197">
        <f t="shared" si="62"/>
        <v>19.715579830357544</v>
      </c>
      <c r="EJ17" s="13">
        <f t="shared" si="63"/>
        <v>89.840854024082603</v>
      </c>
      <c r="EK17" s="131">
        <f>EX$57</f>
        <v>78.460784817085809</v>
      </c>
      <c r="EL17" s="31">
        <f>EW$59</f>
        <v>0.21133812401100521</v>
      </c>
      <c r="EP17" s="2">
        <v>40739</v>
      </c>
      <c r="EQ17" s="193">
        <v>43115</v>
      </c>
      <c r="ES17" s="17">
        <v>0.56000000000000005</v>
      </c>
      <c r="ET17">
        <v>11.654999999999999</v>
      </c>
      <c r="EU17" s="14"/>
      <c r="EV17" s="14"/>
    </row>
    <row r="18" spans="2:164" ht="16" customHeight="1">
      <c r="B18" s="284"/>
      <c r="AD18" s="323"/>
      <c r="AE18" s="288">
        <f t="shared" si="34"/>
        <v>40756</v>
      </c>
      <c r="AF18" s="274"/>
      <c r="AZ18" s="374"/>
      <c r="BA18" s="288">
        <f t="shared" si="35"/>
        <v>40756</v>
      </c>
      <c r="BB18" s="48">
        <f t="shared" si="0"/>
        <v>256.8515244954541</v>
      </c>
      <c r="BC18" s="222">
        <f t="shared" si="36"/>
        <v>1.3745290907139406E-2</v>
      </c>
      <c r="BD18" s="173">
        <f t="shared" si="1"/>
        <v>0</v>
      </c>
      <c r="BE18" s="99">
        <f t="shared" si="37"/>
        <v>0.71581470437430361</v>
      </c>
      <c r="BF18" s="4">
        <f t="shared" si="2"/>
        <v>1.0177535422320805E-2</v>
      </c>
      <c r="BG18" s="3">
        <f t="shared" si="3"/>
        <v>0.44236210732993247</v>
      </c>
      <c r="BH18" s="380"/>
      <c r="BI18" s="378"/>
      <c r="BJ18" s="378"/>
      <c r="BK18" s="378"/>
      <c r="BL18" s="378"/>
      <c r="BM18" s="378"/>
      <c r="BP18" s="158">
        <f t="shared" si="38"/>
        <v>40756</v>
      </c>
      <c r="BQ18" s="373">
        <f>IF($BA$31="d",'Profils de colonie'!I45,IF($BA$31="n",'Profils de colonie'!I73,IF($BA$31="p",'Profils de colonie'!I101,IF($BA$31="a",'Profils de colonie'!I129,IF($BA$31="b",'Profils de colonie'!I157,IF($BA$31="c",'Profils de colonie'!I185,IF($BA$31="r",'Profils de colonie'!I213,IF($BA$31="s",'Profils de colonie'!I241,IF($BA$31="f",'Profils de colonie'!I269,"erreur")))))))))</f>
        <v>25</v>
      </c>
      <c r="BR18">
        <f t="shared" si="4"/>
        <v>50000</v>
      </c>
      <c r="BS18" s="68">
        <f>IF($BA$31="d",'Profils de colonie'!G45,IF($BA$31="n",'Profils de colonie'!G73,IF($BA$31="p",'Profils de colonie'!G101,IF($BA$31="a",'Profils de colonie'!G129,IF($BA$31="b",'Profils de colonie'!G157,IF($BA$31="c",'Profils de colonie'!G185,IF($BA$31="r",'Profils de colonie'!G213,IF($BA$31="s",'Profils de colonie'!G241,IF($BA$31="f",'Profils de colonie'!G269,"erreur")))))))))</f>
        <v>4.5</v>
      </c>
      <c r="BT18" s="13">
        <f t="shared" si="5"/>
        <v>20250</v>
      </c>
      <c r="BU18" s="17">
        <f t="shared" si="6"/>
        <v>0.40500000000000003</v>
      </c>
      <c r="BV18">
        <f t="shared" si="39"/>
        <v>12150</v>
      </c>
      <c r="BW18" s="14">
        <f t="shared" si="40"/>
        <v>123.65705538119778</v>
      </c>
      <c r="BX18" s="14">
        <f t="shared" si="7"/>
        <v>1012.5</v>
      </c>
      <c r="BY18" s="89">
        <f t="shared" si="41"/>
        <v>9.5193410593779895</v>
      </c>
      <c r="BZ18" s="21">
        <f t="shared" si="8"/>
        <v>21.519341059377989</v>
      </c>
      <c r="CA18" s="26">
        <f t="shared" si="9"/>
        <v>0.44236210732993247</v>
      </c>
      <c r="CB18" s="103">
        <f t="shared" si="10"/>
        <v>0.55763789267006758</v>
      </c>
      <c r="CC18" s="22">
        <f t="shared" si="11"/>
        <v>143.23014284873926</v>
      </c>
      <c r="CD18" s="5">
        <f t="shared" si="12"/>
        <v>12150</v>
      </c>
      <c r="CE18" s="67">
        <f>IF($BA$31="d",'Profils de colonie'!K45,IF($BA$31="n",'Profils de colonie'!K73,IF($BA$31="p",'Profils de colonie'!K101,IF($BA$31="a",'Profils de colonie'!K129,IF($BA$31="b",'Profils de colonie'!K157,IF($BA$31="c",'Profils de colonie'!K185,IF($BA$31="r",'Profils de colonie'!K213,IF($BA$31="s",'Profils de colonie'!K213,IF($BA$31="f",'Profils de colonie'!K269,"erreur")))))))))</f>
        <v>0.05</v>
      </c>
      <c r="CF18" s="87">
        <f t="shared" si="42"/>
        <v>3.2000000000000001E-2</v>
      </c>
      <c r="CG18" s="63">
        <f t="shared" si="43"/>
        <v>0.16</v>
      </c>
      <c r="CH18" s="84">
        <f t="shared" si="44"/>
        <v>8.9222062827210818E-2</v>
      </c>
      <c r="CI18" s="60">
        <f t="shared" si="13"/>
        <v>22.916822855798284</v>
      </c>
      <c r="CJ18" s="61">
        <f t="shared" si="45"/>
        <v>5.8942445616765128E-2</v>
      </c>
      <c r="CK18" s="266">
        <f t="shared" si="46"/>
        <v>5.723897237483877E-2</v>
      </c>
      <c r="CL18" s="267">
        <f t="shared" si="47"/>
        <v>1.0297607237036137</v>
      </c>
      <c r="CM18" s="61">
        <f t="shared" si="14"/>
        <v>24.519341059377989</v>
      </c>
      <c r="CN18" s="265">
        <v>1</v>
      </c>
      <c r="CO18" s="71">
        <f t="shared" si="15"/>
        <v>4.2749999999999995</v>
      </c>
      <c r="CP18" s="65">
        <f t="shared" si="48"/>
        <v>9.8493837450082944E-2</v>
      </c>
      <c r="CQ18" s="85">
        <f t="shared" si="49"/>
        <v>0.46841582984285679</v>
      </c>
      <c r="CR18" s="59">
        <f t="shared" si="50"/>
        <v>11761.199999999999</v>
      </c>
      <c r="CS18" s="59">
        <f t="shared" si="16"/>
        <v>120.31331999294098</v>
      </c>
      <c r="CT18" s="62">
        <f t="shared" si="17"/>
        <v>1.0229680644231964E-2</v>
      </c>
      <c r="CU18" s="263">
        <f t="shared" si="51"/>
        <v>1.0177535422320805E-2</v>
      </c>
      <c r="CV18" s="265">
        <f t="shared" si="52"/>
        <v>1.0050248115066733</v>
      </c>
      <c r="CW18" s="64">
        <f t="shared" si="18"/>
        <v>0.84</v>
      </c>
      <c r="CX18" s="62">
        <f t="shared" si="19"/>
        <v>21.519341059377989</v>
      </c>
      <c r="CY18" s="264">
        <v>1</v>
      </c>
      <c r="CZ18" s="70">
        <f t="shared" si="53"/>
        <v>2.2586249999999999</v>
      </c>
      <c r="DA18" s="66">
        <f t="shared" si="20"/>
        <v>6.518049768398862E-2</v>
      </c>
      <c r="DB18" s="91">
        <f t="shared" si="21"/>
        <v>3.931940026528033E-2</v>
      </c>
      <c r="DC18" s="23">
        <f t="shared" si="22"/>
        <v>-6.0180723255630212E-3</v>
      </c>
      <c r="DD18" s="28">
        <f t="shared" si="23"/>
        <v>3.330132793971731E-2</v>
      </c>
      <c r="DE18" s="315">
        <f t="shared" si="54"/>
        <v>116.05432027905533</v>
      </c>
      <c r="DF18" s="270">
        <f t="shared" si="69"/>
        <v>256.8515244954541</v>
      </c>
      <c r="DG18" s="178">
        <f t="shared" si="24"/>
        <v>179.79606714681785</v>
      </c>
      <c r="DH18" s="178">
        <f t="shared" si="70"/>
        <v>141.79830361145264</v>
      </c>
      <c r="DJ18" s="13">
        <f t="shared" si="25"/>
        <v>372.90584477450943</v>
      </c>
      <c r="DK18" s="199">
        <f t="shared" si="55"/>
        <v>32.614852585948483</v>
      </c>
      <c r="DL18" s="107">
        <f t="shared" si="26"/>
        <v>340.29099218856095</v>
      </c>
      <c r="DM18" s="182">
        <f>'Immigration de varroas'!E26</f>
        <v>0</v>
      </c>
      <c r="DN18" s="109">
        <f t="shared" si="56"/>
        <v>-23.722014086928183</v>
      </c>
      <c r="DO18" s="82">
        <f t="shared" si="64"/>
        <v>-23.722014086928183</v>
      </c>
      <c r="DP18" s="198">
        <f t="shared" si="27"/>
        <v>316.56897810163275</v>
      </c>
      <c r="DQ18" s="278">
        <f>EY$32</f>
        <v>0</v>
      </c>
      <c r="DR18" s="107">
        <f t="shared" si="57"/>
        <v>0</v>
      </c>
      <c r="DS18" s="79">
        <f t="shared" si="28"/>
        <v>316.56897810163275</v>
      </c>
      <c r="DT18" s="23">
        <f t="shared" si="29"/>
        <v>1.3745290907139406E-2</v>
      </c>
      <c r="DU18" s="158">
        <f t="shared" si="30"/>
        <v>40756</v>
      </c>
      <c r="DV18" s="74">
        <f t="shared" si="31"/>
        <v>113.62138164671485</v>
      </c>
      <c r="DW18" s="23">
        <f t="shared" si="32"/>
        <v>2.272427632934297E-3</v>
      </c>
      <c r="DX18" s="114">
        <f t="shared" si="33"/>
        <v>0.71581470437430361</v>
      </c>
      <c r="DY18" t="str">
        <f t="shared" si="65"/>
        <v/>
      </c>
      <c r="DZ18" t="str">
        <f t="shared" si="66"/>
        <v/>
      </c>
      <c r="EB18">
        <f t="shared" si="68"/>
        <v>0</v>
      </c>
      <c r="EC18" s="13">
        <f t="shared" si="58"/>
        <v>15398.4375</v>
      </c>
      <c r="ED18" s="14">
        <f t="shared" si="59"/>
        <v>-2000</v>
      </c>
      <c r="EE18" s="13">
        <f t="shared" si="60"/>
        <v>17398.4375</v>
      </c>
      <c r="EF18" s="13">
        <f t="shared" si="67"/>
        <v>1144.0068493150684</v>
      </c>
      <c r="EG18" s="17">
        <f t="shared" si="61"/>
        <v>0.6</v>
      </c>
      <c r="EH18" s="197">
        <f t="shared" si="62"/>
        <v>23.722014086928183</v>
      </c>
      <c r="EJ18" s="13">
        <f t="shared" si="63"/>
        <v>116.05432027905533</v>
      </c>
      <c r="EK18" s="131">
        <f>EY$57</f>
        <v>97.628891278014834</v>
      </c>
      <c r="EL18" s="31">
        <f>EX$59</f>
        <v>0.22375921899767373</v>
      </c>
      <c r="EP18" s="2">
        <v>40756</v>
      </c>
      <c r="EQ18" s="193">
        <v>43132</v>
      </c>
      <c r="ES18" s="17">
        <v>0.56000000000000005</v>
      </c>
      <c r="EU18" s="14"/>
      <c r="EV18" s="14"/>
    </row>
    <row r="19" spans="2:164" ht="16" customHeight="1">
      <c r="B19" s="284"/>
      <c r="AD19" s="323"/>
      <c r="AE19" s="288">
        <f t="shared" si="34"/>
        <v>40770</v>
      </c>
      <c r="AF19" s="274"/>
      <c r="AZ19" s="374"/>
      <c r="BA19" s="288">
        <f t="shared" si="35"/>
        <v>40770</v>
      </c>
      <c r="BB19" s="48">
        <f t="shared" si="0"/>
        <v>316.56897810163275</v>
      </c>
      <c r="BC19" s="222">
        <f t="shared" si="36"/>
        <v>1.0810087760591868E-2</v>
      </c>
      <c r="BD19" s="173">
        <f t="shared" si="1"/>
        <v>0</v>
      </c>
      <c r="BE19" s="99">
        <f t="shared" si="37"/>
        <v>1.0679139600240106</v>
      </c>
      <c r="BF19" s="4">
        <f t="shared" si="2"/>
        <v>1.4434818164018592E-2</v>
      </c>
      <c r="BG19" s="3">
        <f t="shared" si="3"/>
        <v>0.42836832187730856</v>
      </c>
      <c r="BH19" s="381" t="s">
        <v>395</v>
      </c>
      <c r="BI19" s="378" t="s">
        <v>109</v>
      </c>
      <c r="BJ19" s="378"/>
      <c r="BK19" s="378"/>
      <c r="BL19" s="378"/>
      <c r="BM19" s="378"/>
      <c r="BP19" s="158">
        <f t="shared" si="38"/>
        <v>40770</v>
      </c>
      <c r="BQ19" s="373">
        <f>IF($BA$31="d",'Profils de colonie'!I46,IF($BA$31="n",'Profils de colonie'!I74,IF($BA$31="p",'Profils de colonie'!I102,IF($BA$31="a",'Profils de colonie'!I130,IF($BA$31="b",'Profils de colonie'!I158,IF($BA$31="c",'Profils de colonie'!I186,IF($BA$31="r",'Profils de colonie'!I214,IF($BA$31="s",'Profils de colonie'!I242,IF($BA$31="f",'Profils de colonie'!I270,"erreur")))))))))</f>
        <v>20</v>
      </c>
      <c r="BR19">
        <f t="shared" si="4"/>
        <v>40000</v>
      </c>
      <c r="BS19" s="68">
        <f>IF($BA$31="d",'Profils de colonie'!G46,IF($BA$31="n",'Profils de colonie'!G74,IF($BA$31="p",'Profils de colonie'!G102,IF($BA$31="a",'Profils de colonie'!G130,IF($BA$31="b",'Profils de colonie'!G158,IF($BA$31="c",'Profils de colonie'!G186,IF($BA$31="r",'Profils de colonie'!G214,IF($BA$31="s",'Profils de colonie'!G242,IF($BA$31="f",'Profils de colonie'!G270,"erreur")))))))))</f>
        <v>4</v>
      </c>
      <c r="BT19" s="13">
        <f t="shared" si="5"/>
        <v>18000</v>
      </c>
      <c r="BU19" s="17">
        <f t="shared" si="6"/>
        <v>0.45</v>
      </c>
      <c r="BV19">
        <f t="shared" si="39"/>
        <v>10800</v>
      </c>
      <c r="BW19" s="14">
        <f t="shared" si="40"/>
        <v>155.89603617140079</v>
      </c>
      <c r="BX19" s="14">
        <f t="shared" si="7"/>
        <v>900</v>
      </c>
      <c r="BY19" s="89">
        <f t="shared" si="41"/>
        <v>8.9925384810888573</v>
      </c>
      <c r="BZ19" s="21">
        <f t="shared" si="8"/>
        <v>20.992538481088857</v>
      </c>
      <c r="CA19" s="26">
        <f t="shared" si="9"/>
        <v>0.42836832187730856</v>
      </c>
      <c r="CB19" s="103">
        <f t="shared" si="10"/>
        <v>0.57163167812269144</v>
      </c>
      <c r="CC19" s="22">
        <f t="shared" si="11"/>
        <v>180.96085619382188</v>
      </c>
      <c r="CD19" s="5">
        <f t="shared" si="12"/>
        <v>10800</v>
      </c>
      <c r="CE19" s="67">
        <f>IF($BA$31="d",'Profils de colonie'!K46,IF($BA$31="n",'Profils de colonie'!K74,IF($BA$31="p",'Profils de colonie'!K102,IF($BA$31="a",'Profils de colonie'!K130,IF($BA$31="b",'Profils de colonie'!K158,IF($BA$31="c",'Profils de colonie'!K186,IF($BA$31="r",'Profils de colonie'!K214,IF($BA$31="s",'Profils de colonie'!K214,IF($BA$31="f",'Profils de colonie'!K270,"erreur")))))))))</f>
        <v>0.05</v>
      </c>
      <c r="CF19" s="87">
        <f t="shared" si="42"/>
        <v>3.2000000000000001E-2</v>
      </c>
      <c r="CG19" s="63">
        <f t="shared" si="43"/>
        <v>0.16</v>
      </c>
      <c r="CH19" s="84">
        <f t="shared" si="44"/>
        <v>9.1461068499630635E-2</v>
      </c>
      <c r="CI19" s="60">
        <f t="shared" si="13"/>
        <v>28.953736991011503</v>
      </c>
      <c r="CJ19" s="61">
        <f t="shared" si="45"/>
        <v>8.3778174163806424E-2</v>
      </c>
      <c r="CK19" s="266">
        <f t="shared" si="46"/>
        <v>8.0364767674907078E-2</v>
      </c>
      <c r="CL19" s="267">
        <f t="shared" si="47"/>
        <v>1.0424739172109265</v>
      </c>
      <c r="CM19" s="61">
        <f t="shared" si="14"/>
        <v>23.992538481088857</v>
      </c>
      <c r="CN19" s="265">
        <v>1</v>
      </c>
      <c r="CO19" s="71">
        <f t="shared" si="15"/>
        <v>4.2749999999999995</v>
      </c>
      <c r="CP19" s="65">
        <f t="shared" si="48"/>
        <v>9.8493837450082944E-2</v>
      </c>
      <c r="CQ19" s="85">
        <f t="shared" si="49"/>
        <v>0.4801706096230608</v>
      </c>
      <c r="CR19" s="59">
        <f t="shared" si="50"/>
        <v>10454.4</v>
      </c>
      <c r="CS19" s="59">
        <f t="shared" si="16"/>
        <v>152.00711920281037</v>
      </c>
      <c r="CT19" s="62">
        <f t="shared" si="17"/>
        <v>1.4540013697850702E-2</v>
      </c>
      <c r="CU19" s="263">
        <f t="shared" si="51"/>
        <v>1.4434818164018592E-2</v>
      </c>
      <c r="CV19" s="265">
        <f t="shared" si="52"/>
        <v>1.00721784748521</v>
      </c>
      <c r="CW19" s="64">
        <f t="shared" si="18"/>
        <v>0.84</v>
      </c>
      <c r="CX19" s="62">
        <f t="shared" si="19"/>
        <v>20.992538481088857</v>
      </c>
      <c r="CY19" s="264">
        <v>1</v>
      </c>
      <c r="CZ19" s="70">
        <f t="shared" si="53"/>
        <v>2.2586249999999999</v>
      </c>
      <c r="DA19" s="66">
        <f t="shared" si="20"/>
        <v>6.518049768398862E-2</v>
      </c>
      <c r="DB19" s="91">
        <f t="shared" si="21"/>
        <v>4.0306110922268837E-2</v>
      </c>
      <c r="DC19" s="23">
        <f t="shared" si="22"/>
        <v>-6.0180723255630212E-3</v>
      </c>
      <c r="DD19" s="28">
        <f t="shared" si="23"/>
        <v>3.4288038596705817E-2</v>
      </c>
      <c r="DE19" s="315">
        <f t="shared" si="54"/>
        <v>145.51325004628117</v>
      </c>
      <c r="DF19" s="270">
        <f t="shared" si="69"/>
        <v>316.56897810163275</v>
      </c>
      <c r="DG19" s="178">
        <f t="shared" si="24"/>
        <v>221.59828467114292</v>
      </c>
      <c r="DH19" s="178">
        <f t="shared" si="70"/>
        <v>172.01362556190381</v>
      </c>
      <c r="DJ19" s="13">
        <f t="shared" si="25"/>
        <v>462.08222814791395</v>
      </c>
      <c r="DK19" s="199">
        <f t="shared" si="55"/>
        <v>40.414340415457673</v>
      </c>
      <c r="DL19" s="107">
        <f t="shared" si="26"/>
        <v>421.66788773245628</v>
      </c>
      <c r="DM19" s="182">
        <f>'Immigration de varroas'!E27</f>
        <v>0</v>
      </c>
      <c r="DN19" s="109">
        <f t="shared" si="56"/>
        <v>-48.531286346984018</v>
      </c>
      <c r="DO19" s="82">
        <f t="shared" si="64"/>
        <v>-48.531286346984018</v>
      </c>
      <c r="DP19" s="198">
        <f t="shared" si="27"/>
        <v>373.13660138547226</v>
      </c>
      <c r="DQ19" s="278">
        <f>EZ$32</f>
        <v>0</v>
      </c>
      <c r="DR19" s="107">
        <f t="shared" si="57"/>
        <v>0</v>
      </c>
      <c r="DS19" s="79">
        <f t="shared" si="28"/>
        <v>373.13660138547226</v>
      </c>
      <c r="DT19" s="23">
        <f t="shared" si="29"/>
        <v>1.0810087760591868E-2</v>
      </c>
      <c r="DU19" s="158">
        <f t="shared" si="30"/>
        <v>40770</v>
      </c>
      <c r="DV19" s="74">
        <f t="shared" si="31"/>
        <v>135.60812190781087</v>
      </c>
      <c r="DW19" s="23">
        <f t="shared" si="32"/>
        <v>3.3902030476952718E-3</v>
      </c>
      <c r="DX19" s="114">
        <f t="shared" si="33"/>
        <v>1.0679139600240106</v>
      </c>
      <c r="DY19" t="str">
        <f t="shared" si="65"/>
        <v/>
      </c>
      <c r="DZ19" t="str">
        <f t="shared" si="66"/>
        <v/>
      </c>
      <c r="EB19">
        <f t="shared" si="68"/>
        <v>0</v>
      </c>
      <c r="EC19" s="13">
        <f t="shared" si="58"/>
        <v>13858.59375</v>
      </c>
      <c r="ED19" s="14">
        <f t="shared" si="59"/>
        <v>-10000</v>
      </c>
      <c r="EE19" s="13">
        <f t="shared" si="60"/>
        <v>23858.59375</v>
      </c>
      <c r="EF19" s="13">
        <f t="shared" si="67"/>
        <v>1568.7842465753424</v>
      </c>
      <c r="EG19" s="17">
        <f t="shared" si="61"/>
        <v>0.6</v>
      </c>
      <c r="EH19" s="197">
        <f t="shared" si="62"/>
        <v>48.531286346984018</v>
      </c>
      <c r="EJ19" s="13">
        <f t="shared" si="63"/>
        <v>145.51325004628117</v>
      </c>
      <c r="EK19" s="131">
        <f>EZ$57</f>
        <v>118.59559779375206</v>
      </c>
      <c r="EL19" s="31">
        <f>EY$59</f>
        <v>0.22369585436074982</v>
      </c>
      <c r="EN19" s="31"/>
      <c r="EP19" s="2">
        <v>40770</v>
      </c>
      <c r="EQ19" s="193">
        <v>43146</v>
      </c>
      <c r="ET19">
        <v>13.23</v>
      </c>
      <c r="EU19" s="14"/>
      <c r="EV19" s="14"/>
    </row>
    <row r="20" spans="2:164" ht="16" customHeight="1">
      <c r="B20" s="455" t="s">
        <v>110</v>
      </c>
      <c r="C20" s="487"/>
      <c r="D20" s="101"/>
      <c r="E20" s="101"/>
      <c r="F20" s="101"/>
      <c r="G20" s="101"/>
      <c r="H20" s="101"/>
      <c r="I20" s="101"/>
      <c r="J20" s="101"/>
      <c r="K20" s="101"/>
      <c r="L20" s="101"/>
      <c r="M20" s="101"/>
      <c r="N20" s="101"/>
      <c r="O20" s="101"/>
      <c r="P20" s="101"/>
      <c r="Q20" s="101"/>
      <c r="R20" s="101"/>
      <c r="S20" s="101"/>
      <c r="T20" s="101"/>
      <c r="U20" s="101"/>
      <c r="V20" s="101"/>
      <c r="W20" s="101"/>
      <c r="X20" s="101"/>
      <c r="Y20" s="101"/>
      <c r="Z20" s="139"/>
      <c r="AA20" s="287"/>
      <c r="AB20" s="488"/>
      <c r="AC20" s="488"/>
      <c r="AD20" s="323"/>
      <c r="AE20" s="288">
        <f t="shared" si="34"/>
        <v>40787</v>
      </c>
      <c r="AF20" s="274"/>
      <c r="AZ20" s="374"/>
      <c r="BA20" s="288">
        <f t="shared" si="35"/>
        <v>40787</v>
      </c>
      <c r="BB20" s="48">
        <f t="shared" si="0"/>
        <v>373.13660138547226</v>
      </c>
      <c r="BC20" s="222">
        <f t="shared" si="36"/>
        <v>8.0448765943770054E-3</v>
      </c>
      <c r="BD20" s="173">
        <f t="shared" si="1"/>
        <v>0</v>
      </c>
      <c r="BE20" s="99">
        <f t="shared" si="37"/>
        <v>1.6635061638148847</v>
      </c>
      <c r="BF20" s="4">
        <f t="shared" si="2"/>
        <v>2.2348193238226899E-2</v>
      </c>
      <c r="BG20" s="3">
        <f t="shared" si="3"/>
        <v>0.39628172098980846</v>
      </c>
      <c r="BH20" s="380"/>
      <c r="BI20" s="378"/>
      <c r="BJ20" s="378"/>
      <c r="BK20" s="378"/>
      <c r="BL20" s="378"/>
      <c r="BM20" s="378"/>
      <c r="BP20" s="158">
        <f t="shared" si="38"/>
        <v>40787</v>
      </c>
      <c r="BQ20" s="373">
        <f>IF($BA$31="d",'Profils de colonie'!I47,IF($BA$31="n",'Profils de colonie'!I75,IF($BA$31="p",'Profils de colonie'!I103,IF($BA$31="a",'Profils de colonie'!I131,IF($BA$31="b",'Profils de colonie'!I159,IF($BA$31="c",'Profils de colonie'!I187,IF($BA$31="r",'Profils de colonie'!I215,IF($BA$31="s",'Profils de colonie'!I243,IF($BA$31="f",'Profils de colonie'!I271,"erreur")))))))))</f>
        <v>14</v>
      </c>
      <c r="BR20">
        <f t="shared" si="4"/>
        <v>28000</v>
      </c>
      <c r="BS20" s="68">
        <f>IF($BA$31="d",'Profils de colonie'!G47,IF($BA$31="n",'Profils de colonie'!G75,IF($BA$31="p",'Profils de colonie'!G103,IF($BA$31="a",'Profils de colonie'!G131,IF($BA$31="b",'Profils de colonie'!G159,IF($BA$31="c",'Profils de colonie'!G187,IF($BA$31="r",'Profils de colonie'!G215,IF($BA$31="s",'Profils de colonie'!G243,IF($BA$31="f",'Profils de colonie'!G271,"erreur")))))))))</f>
        <v>3.5</v>
      </c>
      <c r="BT20" s="13">
        <f t="shared" si="5"/>
        <v>15750</v>
      </c>
      <c r="BU20" s="17">
        <f t="shared" si="6"/>
        <v>0.5625</v>
      </c>
      <c r="BV20">
        <f t="shared" si="39"/>
        <v>9450</v>
      </c>
      <c r="BW20" s="14">
        <f t="shared" si="40"/>
        <v>211.19042610124419</v>
      </c>
      <c r="BX20" s="14">
        <f t="shared" si="7"/>
        <v>787.5</v>
      </c>
      <c r="BY20" s="89">
        <f t="shared" si="41"/>
        <v>7.8768207245178088</v>
      </c>
      <c r="BZ20" s="21">
        <f t="shared" si="8"/>
        <v>19.87682072451781</v>
      </c>
      <c r="CA20" s="26">
        <f t="shared" si="9"/>
        <v>0.39628172098980846</v>
      </c>
      <c r="CB20" s="103">
        <f t="shared" si="10"/>
        <v>0.60371827901019159</v>
      </c>
      <c r="CC20" s="22">
        <f t="shared" si="11"/>
        <v>225.26938682414919</v>
      </c>
      <c r="CD20" s="5">
        <f t="shared" si="12"/>
        <v>9450</v>
      </c>
      <c r="CE20" s="67">
        <f>IF($BA$31="d",'Profils de colonie'!K47,IF($BA$31="n",'Profils de colonie'!K75,IF($BA$31="p",'Profils de colonie'!K103,IF($BA$31="a",'Profils de colonie'!K131,IF($BA$31="b",'Profils de colonie'!K159,IF($BA$31="c",'Profils de colonie'!K187,IF($BA$31="r",'Profils de colonie'!K215,IF($BA$31="s",'Profils de colonie'!K215,IF($BA$31="f",'Profils de colonie'!K271,"erreur")))))))))</f>
        <v>0.02</v>
      </c>
      <c r="CF20" s="87">
        <f t="shared" si="42"/>
        <v>1.2800000000000001E-2</v>
      </c>
      <c r="CG20" s="63">
        <f t="shared" si="43"/>
        <v>6.4000000000000001E-2</v>
      </c>
      <c r="CH20" s="84">
        <f t="shared" si="44"/>
        <v>3.8637969856652264E-2</v>
      </c>
      <c r="CI20" s="60">
        <f t="shared" si="13"/>
        <v>14.417240756745549</v>
      </c>
      <c r="CJ20" s="61">
        <f t="shared" si="45"/>
        <v>0.11919015175880909</v>
      </c>
      <c r="CK20" s="266">
        <f t="shared" si="46"/>
        <v>0.11236100140332628</v>
      </c>
      <c r="CL20" s="267">
        <f t="shared" si="47"/>
        <v>1.0607786533600674</v>
      </c>
      <c r="CM20" s="61">
        <f t="shared" si="14"/>
        <v>22.87682072451781</v>
      </c>
      <c r="CN20" s="265">
        <v>1</v>
      </c>
      <c r="CO20" s="71">
        <f t="shared" si="15"/>
        <v>4.2749999999999995</v>
      </c>
      <c r="CP20" s="65">
        <f t="shared" si="48"/>
        <v>9.8493837450082944E-2</v>
      </c>
      <c r="CQ20" s="85">
        <f t="shared" si="49"/>
        <v>0.56508030915353935</v>
      </c>
      <c r="CR20" s="59">
        <f t="shared" si="50"/>
        <v>9329.0399999999991</v>
      </c>
      <c r="CS20" s="59">
        <f t="shared" si="16"/>
        <v>210.85214606740365</v>
      </c>
      <c r="CT20" s="62">
        <f t="shared" si="17"/>
        <v>2.2601698145511613E-2</v>
      </c>
      <c r="CU20" s="263">
        <f t="shared" si="51"/>
        <v>2.2348193238226899E-2</v>
      </c>
      <c r="CV20" s="265">
        <f t="shared" si="52"/>
        <v>1.0112981665419949</v>
      </c>
      <c r="CW20" s="64">
        <f t="shared" si="18"/>
        <v>0.93599999999999994</v>
      </c>
      <c r="CX20" s="62">
        <f t="shared" si="19"/>
        <v>19.87682072451781</v>
      </c>
      <c r="CY20" s="264">
        <v>1</v>
      </c>
      <c r="CZ20" s="70">
        <f t="shared" si="53"/>
        <v>2.2586249999999999</v>
      </c>
      <c r="DA20" s="66">
        <f t="shared" si="20"/>
        <v>6.518049768398862E-2</v>
      </c>
      <c r="DB20" s="91">
        <f t="shared" si="21"/>
        <v>4.0637817704512157E-2</v>
      </c>
      <c r="DC20" s="23">
        <f t="shared" si="22"/>
        <v>-6.0180723255630212E-3</v>
      </c>
      <c r="DD20" s="28">
        <f t="shared" si="23"/>
        <v>3.4619745378949136E-2</v>
      </c>
      <c r="DE20" s="315">
        <f t="shared" si="54"/>
        <v>173.42195893301798</v>
      </c>
      <c r="DF20" s="270">
        <f t="shared" si="69"/>
        <v>373.13660138547226</v>
      </c>
      <c r="DG20" s="178">
        <f t="shared" si="24"/>
        <v>261.19562096983054</v>
      </c>
      <c r="DH20" s="178">
        <f t="shared" si="70"/>
        <v>202.76724338169774</v>
      </c>
      <c r="DJ20" s="13">
        <f t="shared" si="25"/>
        <v>546.55856031849021</v>
      </c>
      <c r="DK20" s="199">
        <f t="shared" si="55"/>
        <v>47.802755371546596</v>
      </c>
      <c r="DL20" s="107">
        <f t="shared" si="26"/>
        <v>498.75580494694361</v>
      </c>
      <c r="DM20" s="182">
        <f>'Immigration de varroas'!E28</f>
        <v>0</v>
      </c>
      <c r="DN20" s="109">
        <f t="shared" si="56"/>
        <v>-77.05598194528234</v>
      </c>
      <c r="DO20" s="82">
        <f t="shared" si="64"/>
        <v>-77.05598194528234</v>
      </c>
      <c r="DP20" s="198">
        <f t="shared" si="27"/>
        <v>421.69982300166129</v>
      </c>
      <c r="DQ20" s="278">
        <f>FA$32</f>
        <v>0</v>
      </c>
      <c r="DR20" s="107">
        <f t="shared" si="57"/>
        <v>0</v>
      </c>
      <c r="DS20" s="79">
        <f t="shared" si="28"/>
        <v>421.69982300166129</v>
      </c>
      <c r="DT20" s="23">
        <f t="shared" si="29"/>
        <v>8.0448765943770054E-3</v>
      </c>
      <c r="DU20" s="158">
        <f t="shared" si="30"/>
        <v>40787</v>
      </c>
      <c r="DV20" s="74">
        <f t="shared" si="31"/>
        <v>147.8672145613231</v>
      </c>
      <c r="DW20" s="23">
        <f t="shared" si="32"/>
        <v>5.2809719486186816E-3</v>
      </c>
      <c r="DX20" s="114">
        <f t="shared" si="33"/>
        <v>1.6635061638148847</v>
      </c>
      <c r="DY20" t="str">
        <f t="shared" si="65"/>
        <v/>
      </c>
      <c r="DZ20" t="str">
        <f t="shared" si="66"/>
        <v/>
      </c>
      <c r="EB20">
        <f t="shared" si="68"/>
        <v>0</v>
      </c>
      <c r="EC20" s="13">
        <f t="shared" si="58"/>
        <v>12318.75</v>
      </c>
      <c r="ED20" s="14">
        <f t="shared" si="59"/>
        <v>-12000</v>
      </c>
      <c r="EE20" s="13">
        <f t="shared" si="60"/>
        <v>24318.75</v>
      </c>
      <c r="EF20" s="13">
        <f t="shared" si="67"/>
        <v>1599.0410958904108</v>
      </c>
      <c r="EG20" s="17">
        <f t="shared" si="61"/>
        <v>0.6</v>
      </c>
      <c r="EH20" s="197">
        <f t="shared" si="62"/>
        <v>77.05598194528234</v>
      </c>
      <c r="EJ20" s="13">
        <f t="shared" si="63"/>
        <v>173.42195893301798</v>
      </c>
      <c r="EK20" s="131">
        <f>FA$57</f>
        <v>150.36675382340852</v>
      </c>
      <c r="EL20" s="31">
        <f>EZ$59</f>
        <v>0.21789547329766229</v>
      </c>
      <c r="EP20" s="2">
        <v>40787</v>
      </c>
      <c r="EQ20" s="193">
        <v>43160</v>
      </c>
      <c r="EU20" s="14"/>
      <c r="EV20" s="14"/>
    </row>
    <row r="21" spans="2:164" ht="16" customHeight="1">
      <c r="B21" s="286" t="s">
        <v>111</v>
      </c>
      <c r="C21" s="290" t="s">
        <v>396</v>
      </c>
      <c r="D21" s="457" t="str">
        <f>IF($C$21="d",'Profils de colonie'!B30,IF($C$21="b",'Profils de colonie'!B142,IF($C$21="c",'Profils de colonie'!B170,IF($C$21="r",'Profils de colonie'!B198,IF($C$21="s",'Profils de colonie'!B226,IF($C$21="f",'Profils de colonie'!B254,"erreur"))))))</f>
        <v>B : Colonie de haute latitude — été court et longue rupture hivernale de couvain</v>
      </c>
      <c r="E21" s="458"/>
      <c r="F21" s="458"/>
      <c r="G21" s="458"/>
      <c r="H21" s="458"/>
      <c r="I21" s="458"/>
      <c r="J21" s="458"/>
      <c r="K21" s="458"/>
      <c r="L21" s="458"/>
      <c r="M21" s="458"/>
      <c r="N21" s="458"/>
      <c r="O21" s="458"/>
      <c r="P21" s="458"/>
      <c r="Q21" s="458"/>
      <c r="R21" s="458"/>
      <c r="S21" s="458"/>
      <c r="T21" s="458"/>
      <c r="U21" s="458"/>
      <c r="V21" s="458"/>
      <c r="W21" s="458"/>
      <c r="X21" s="458"/>
      <c r="Y21" s="458"/>
      <c r="Z21" s="458"/>
      <c r="AA21" s="459"/>
      <c r="AB21" s="461" t="s">
        <v>113</v>
      </c>
      <c r="AC21" s="461"/>
      <c r="AD21" s="323"/>
      <c r="AE21" s="288">
        <f t="shared" si="34"/>
        <v>40801</v>
      </c>
      <c r="AZ21" s="374"/>
      <c r="BA21" s="288">
        <f t="shared" si="35"/>
        <v>40801</v>
      </c>
      <c r="BB21" s="48">
        <f t="shared" si="0"/>
        <v>421.69982300166129</v>
      </c>
      <c r="BC21" s="222">
        <f t="shared" si="36"/>
        <v>1.1626235252669301E-2</v>
      </c>
      <c r="BD21" s="173">
        <f t="shared" si="1"/>
        <v>0</v>
      </c>
      <c r="BE21" s="99">
        <f t="shared" si="37"/>
        <v>2.1933441022525719</v>
      </c>
      <c r="BF21" s="4">
        <f t="shared" si="2"/>
        <v>2.9360835023325649E-2</v>
      </c>
      <c r="BG21" s="3">
        <f t="shared" si="3"/>
        <v>0.39628172098980846</v>
      </c>
      <c r="BH21" s="401" t="s">
        <v>397</v>
      </c>
      <c r="BI21" s="378" t="s">
        <v>115</v>
      </c>
      <c r="BJ21" s="378"/>
      <c r="BK21" s="378"/>
      <c r="BL21" s="378"/>
      <c r="BM21" s="378"/>
      <c r="BP21" s="158">
        <f t="shared" si="38"/>
        <v>40801</v>
      </c>
      <c r="BQ21" s="373">
        <f>IF($BA$31="d",'Profils de colonie'!I48,IF($BA$31="n",'Profils de colonie'!I76,IF($BA$31="p",'Profils de colonie'!I104,IF($BA$31="a",'Profils de colonie'!I132,IF($BA$31="b",'Profils de colonie'!I160,IF($BA$31="c",'Profils de colonie'!I188,IF($BA$31="r",'Profils de colonie'!I216,IF($BA$31="s",'Profils de colonie'!I244,IF($BA$31="f",'Profils de colonie'!I272,"erreur")))))))))</f>
        <v>12</v>
      </c>
      <c r="BR21">
        <f t="shared" si="4"/>
        <v>24000</v>
      </c>
      <c r="BS21" s="68">
        <f>IF($BA$31="d",'Profils de colonie'!G48,IF($BA$31="n",'Profils de colonie'!G76,IF($BA$31="p",'Profils de colonie'!G104,IF($BA$31="a",'Profils de colonie'!G132,IF($BA$31="b",'Profils de colonie'!G160,IF($BA$31="c",'Profils de colonie'!G188,IF($BA$31="r",'Profils de colonie'!G216,IF($BA$31="s",'Profils de colonie'!G244,IF($BA$31="f",'Profils de colonie'!G272,"erreur")))))))))</f>
        <v>3</v>
      </c>
      <c r="BT21" s="13">
        <f t="shared" si="5"/>
        <v>13500</v>
      </c>
      <c r="BU21" s="17">
        <f t="shared" si="6"/>
        <v>0.5625</v>
      </c>
      <c r="BV21">
        <f t="shared" si="39"/>
        <v>8100</v>
      </c>
      <c r="BW21" s="14">
        <f t="shared" si="40"/>
        <v>237.82276368893775</v>
      </c>
      <c r="BX21" s="14">
        <f t="shared" si="7"/>
        <v>675</v>
      </c>
      <c r="BY21" s="89">
        <f t="shared" si="41"/>
        <v>7.8768207245178088</v>
      </c>
      <c r="BZ21" s="21">
        <f t="shared" si="8"/>
        <v>19.87682072451781</v>
      </c>
      <c r="CA21" s="26">
        <f t="shared" si="9"/>
        <v>0.39628172098980846</v>
      </c>
      <c r="CB21" s="103">
        <f t="shared" si="10"/>
        <v>0.60371827901019159</v>
      </c>
      <c r="CC21" s="22">
        <f t="shared" si="11"/>
        <v>254.58789140146536</v>
      </c>
      <c r="CD21" s="5">
        <f t="shared" si="12"/>
        <v>8100</v>
      </c>
      <c r="CE21" s="67">
        <f>IF($BA$31="d",'Profils de colonie'!K48,IF($BA$31="n",'Profils de colonie'!K76,IF($BA$31="p",'Profils de colonie'!K104,IF($BA$31="a",'Profils de colonie'!K132,IF($BA$31="b",'Profils de colonie'!K160,IF($BA$31="c",'Profils de colonie'!K188,IF($BA$31="r",'Profils de colonie'!K216,IF($BA$31="s",'Profils de colonie'!K216,IF($BA$31="f",'Profils de colonie'!K272,"erreur")))))))))</f>
        <v>0.02</v>
      </c>
      <c r="CF21" s="87">
        <f t="shared" si="42"/>
        <v>1.2800000000000001E-2</v>
      </c>
      <c r="CG21" s="63">
        <f t="shared" si="43"/>
        <v>6.4000000000000001E-2</v>
      </c>
      <c r="CH21" s="84">
        <f t="shared" si="44"/>
        <v>3.8637969856652264E-2</v>
      </c>
      <c r="CI21" s="60">
        <f t="shared" si="13"/>
        <v>16.293625049693784</v>
      </c>
      <c r="CJ21" s="61">
        <f t="shared" si="45"/>
        <v>0.15715301938362058</v>
      </c>
      <c r="CK21" s="266">
        <f t="shared" si="46"/>
        <v>0.14542671746466496</v>
      </c>
      <c r="CL21" s="267">
        <f t="shared" si="47"/>
        <v>1.0806337523351226</v>
      </c>
      <c r="CM21" s="61">
        <f t="shared" si="14"/>
        <v>22.87682072451781</v>
      </c>
      <c r="CN21" s="265">
        <v>1</v>
      </c>
      <c r="CO21" s="71">
        <f t="shared" si="15"/>
        <v>4.2749999999999995</v>
      </c>
      <c r="CP21" s="65">
        <f t="shared" si="48"/>
        <v>9.8493837450082944E-2</v>
      </c>
      <c r="CQ21" s="85">
        <f t="shared" si="49"/>
        <v>0.56508030915353935</v>
      </c>
      <c r="CR21" s="59">
        <f t="shared" si="50"/>
        <v>7996.32</v>
      </c>
      <c r="CS21" s="59">
        <f t="shared" si="16"/>
        <v>238.29426635177157</v>
      </c>
      <c r="CT21" s="62">
        <f t="shared" si="17"/>
        <v>2.9800491520070679E-2</v>
      </c>
      <c r="CU21" s="263">
        <f t="shared" si="51"/>
        <v>2.9360835023325649E-2</v>
      </c>
      <c r="CV21" s="265">
        <f t="shared" si="52"/>
        <v>1.0149396826321158</v>
      </c>
      <c r="CW21" s="64">
        <f t="shared" si="18"/>
        <v>0.93599999999999994</v>
      </c>
      <c r="CX21" s="62">
        <f t="shared" si="19"/>
        <v>19.87682072451781</v>
      </c>
      <c r="CY21" s="264">
        <v>1</v>
      </c>
      <c r="CZ21" s="70">
        <f t="shared" si="53"/>
        <v>2.2586249999999999</v>
      </c>
      <c r="DA21" s="66">
        <f t="shared" si="20"/>
        <v>6.518049768398862E-2</v>
      </c>
      <c r="DB21" s="91">
        <f t="shared" si="21"/>
        <v>4.0637817704512157E-2</v>
      </c>
      <c r="DC21" s="23">
        <f t="shared" si="22"/>
        <v>-6.0180723255630212E-3</v>
      </c>
      <c r="DD21" s="28">
        <f t="shared" si="23"/>
        <v>3.4619745378949136E-2</v>
      </c>
      <c r="DE21" s="315">
        <f t="shared" si="54"/>
        <v>197.45700658527787</v>
      </c>
      <c r="DF21" s="270">
        <f t="shared" si="69"/>
        <v>421.69982300166129</v>
      </c>
      <c r="DG21" s="178">
        <f t="shared" si="24"/>
        <v>295.18987610116289</v>
      </c>
      <c r="DH21" s="178">
        <f t="shared" si="70"/>
        <v>230.8693383354217</v>
      </c>
      <c r="DJ21" s="13">
        <f t="shared" si="25"/>
        <v>619.15682958693912</v>
      </c>
      <c r="DK21" s="199">
        <f t="shared" si="55"/>
        <v>54.152298784086042</v>
      </c>
      <c r="DL21" s="107">
        <f t="shared" si="26"/>
        <v>565.00453080285308</v>
      </c>
      <c r="DM21" s="182">
        <f>'Immigration de varroas'!E29</f>
        <v>0</v>
      </c>
      <c r="DN21" s="109">
        <f t="shared" si="56"/>
        <v>-61.743289259392718</v>
      </c>
      <c r="DO21" s="82">
        <f t="shared" si="64"/>
        <v>-61.743289259392718</v>
      </c>
      <c r="DP21" s="198">
        <f t="shared" si="27"/>
        <v>503.26124154346036</v>
      </c>
      <c r="DQ21" s="278">
        <f>FB$32</f>
        <v>0</v>
      </c>
      <c r="DR21" s="107">
        <f t="shared" si="57"/>
        <v>0</v>
      </c>
      <c r="DS21" s="79">
        <f t="shared" si="28"/>
        <v>503.26124154346036</v>
      </c>
      <c r="DT21" s="23">
        <f t="shared" si="29"/>
        <v>1.1626235252669301E-2</v>
      </c>
      <c r="DU21" s="158">
        <f t="shared" si="30"/>
        <v>40801</v>
      </c>
      <c r="DV21" s="74">
        <f t="shared" si="31"/>
        <v>167.11193160019596</v>
      </c>
      <c r="DW21" s="23">
        <f t="shared" si="32"/>
        <v>6.962997150008165E-3</v>
      </c>
      <c r="DX21" s="114">
        <f t="shared" si="33"/>
        <v>2.1933441022525719</v>
      </c>
      <c r="DY21" t="str">
        <f t="shared" si="65"/>
        <v/>
      </c>
      <c r="DZ21" t="str">
        <f t="shared" si="66"/>
        <v/>
      </c>
      <c r="EB21">
        <f t="shared" si="68"/>
        <v>0</v>
      </c>
      <c r="EC21" s="13">
        <f t="shared" si="58"/>
        <v>10778.90625</v>
      </c>
      <c r="ED21" s="14">
        <f t="shared" si="59"/>
        <v>-4000</v>
      </c>
      <c r="EE21" s="13">
        <f t="shared" si="60"/>
        <v>14778.90625</v>
      </c>
      <c r="EF21" s="13">
        <f t="shared" si="67"/>
        <v>971.7636986301369</v>
      </c>
      <c r="EG21" s="17">
        <f t="shared" si="61"/>
        <v>0.6</v>
      </c>
      <c r="EH21" s="197">
        <f t="shared" si="62"/>
        <v>61.743289259392718</v>
      </c>
      <c r="EJ21" s="13">
        <f t="shared" si="63"/>
        <v>197.45700658527787</v>
      </c>
      <c r="EK21" s="131">
        <f>FB$57</f>
        <v>181.76196675496379</v>
      </c>
      <c r="EL21" s="31">
        <f>FA$59</f>
        <v>0.22418731139354955</v>
      </c>
      <c r="EP21" s="2">
        <v>40801</v>
      </c>
      <c r="EQ21" s="193">
        <v>43174</v>
      </c>
      <c r="ET21">
        <v>19.53</v>
      </c>
      <c r="EU21" s="14"/>
      <c r="EV21" s="14"/>
    </row>
    <row r="22" spans="2:164" ht="16" customHeight="1">
      <c r="B22" s="280" t="s">
        <v>116</v>
      </c>
      <c r="C22" s="285">
        <v>100</v>
      </c>
      <c r="D22" s="295">
        <f>BB5</f>
        <v>92.660083310629844</v>
      </c>
      <c r="E22" s="295">
        <f>IF('Rupture de couvain'!$BB6=0,"",'Rupture de couvain'!$BB5)</f>
        <v>92.660083310629844</v>
      </c>
      <c r="F22" s="295">
        <f>IF('Rupture de couvain'!$BB7=0,"",'Rupture de couvain'!$BB5)</f>
        <v>92.660083310629844</v>
      </c>
      <c r="G22" s="295">
        <f>IF('Rupture de couvain'!$BB8=0,"",'Rupture de couvain'!$BB5)</f>
        <v>92.660083310629844</v>
      </c>
      <c r="H22" s="295">
        <f>IF('Rupture de couvain'!$BB9=0,"",'Rupture de couvain'!$BB5)</f>
        <v>92.660083310629844</v>
      </c>
      <c r="I22" s="295">
        <f>BB10</f>
        <v>97.748270936739701</v>
      </c>
      <c r="J22" s="295">
        <f>'Rupture de couvain'!BB11</f>
        <v>85.79619554269081</v>
      </c>
      <c r="K22" s="295">
        <f>'Rupture de couvain'!BB12</f>
        <v>76.521914181502552</v>
      </c>
      <c r="L22" s="295">
        <f>'Rupture de couvain'!BB13</f>
        <v>100.1340448315154</v>
      </c>
      <c r="M22" s="295">
        <f>'Rupture de couvain'!BB14</f>
        <v>120.73188009519274</v>
      </c>
      <c r="N22" s="295">
        <f>'Rupture de couvain'!BB15</f>
        <v>146.83809559182916</v>
      </c>
      <c r="O22" s="295">
        <f>'Rupture de couvain'!BB16</f>
        <v>183.53310937702634</v>
      </c>
      <c r="P22" s="295">
        <f>'Rupture de couvain'!BB17</f>
        <v>213.23355006801481</v>
      </c>
      <c r="Q22" s="295">
        <f>'Rupture de couvain'!BB18</f>
        <v>256.8515244954541</v>
      </c>
      <c r="R22" s="295">
        <f>'Rupture de couvain'!BB19</f>
        <v>316.56897810163275</v>
      </c>
      <c r="S22" s="295">
        <f>'Rupture de couvain'!BB20</f>
        <v>373.13660138547226</v>
      </c>
      <c r="T22" s="295">
        <f>'Rupture de couvain'!BB21</f>
        <v>421.69982300166129</v>
      </c>
      <c r="U22" s="295">
        <f>'Rupture de couvain'!BB22</f>
        <v>503.26124154346036</v>
      </c>
      <c r="V22" s="295">
        <f>'Rupture de couvain'!BB23</f>
        <v>486.83870826874352</v>
      </c>
      <c r="W22" s="295">
        <f>'Rupture de couvain'!BB24</f>
        <v>510.78874566883428</v>
      </c>
      <c r="X22" s="295">
        <f>'Rupture de couvain'!BB25</f>
        <v>429.08910992098674</v>
      </c>
      <c r="Y22" s="295">
        <f>'Rupture de couvain'!BB26</f>
        <v>397.58331455989128</v>
      </c>
      <c r="Z22" s="295">
        <f>'Rupture de couvain'!BB27</f>
        <v>368.39082689732493</v>
      </c>
      <c r="AA22" s="296">
        <f>'Rupture de couvain'!BB28</f>
        <v>341.34179270657347</v>
      </c>
      <c r="AB22" s="461"/>
      <c r="AC22" s="461"/>
      <c r="AD22" s="323"/>
      <c r="AE22" s="288">
        <f t="shared" si="34"/>
        <v>40817</v>
      </c>
      <c r="AF22" s="219"/>
      <c r="AZ22" s="374"/>
      <c r="BA22" s="288">
        <f t="shared" si="35"/>
        <v>40817</v>
      </c>
      <c r="BB22" s="48">
        <f t="shared" si="0"/>
        <v>503.26124154346036</v>
      </c>
      <c r="BC22" s="222">
        <f t="shared" si="36"/>
        <v>-2.1814703641977293E-3</v>
      </c>
      <c r="BD22" s="173">
        <f t="shared" si="1"/>
        <v>0</v>
      </c>
      <c r="BE22" s="99">
        <f t="shared" si="37"/>
        <v>4.5201068687127783</v>
      </c>
      <c r="BF22" s="4">
        <f t="shared" si="2"/>
        <v>0.1480268305330199</v>
      </c>
      <c r="BG22" s="3">
        <f t="shared" si="3"/>
        <v>0.57026229840201237</v>
      </c>
      <c r="BH22" s="401"/>
      <c r="BI22" s="378"/>
      <c r="BJ22" s="378"/>
      <c r="BK22" s="378"/>
      <c r="BL22" s="378"/>
      <c r="BM22" s="378"/>
      <c r="BP22" s="158">
        <f t="shared" si="38"/>
        <v>40817</v>
      </c>
      <c r="BQ22" s="373">
        <f>IF($BA$31="d",'Profils de colonie'!I49,IF($BA$31="n",'Profils de colonie'!I77,IF($BA$31="p",'Profils de colonie'!I105,IF($BA$31="a",'Profils de colonie'!I133,IF($BA$31="b",'Profils de colonie'!I161,IF($BA$31="c",'Profils de colonie'!I189,IF($BA$31="r",'Profils de colonie'!I217,IF($BA$31="s",'Profils de colonie'!I245,IF($BA$31="f",'Profils de colonie'!I273,"erreur")))))))))</f>
        <v>10</v>
      </c>
      <c r="BR22">
        <f t="shared" si="4"/>
        <v>20000</v>
      </c>
      <c r="BS22" s="68">
        <f>IF($BA$31="d",'Profils de colonie'!G49,IF($BA$31="n",'Profils de colonie'!G77,IF($BA$31="p",'Profils de colonie'!G105,IF($BA$31="a",'Profils de colonie'!G133,IF($BA$31="b",'Profils de colonie'!G161,IF($BA$31="c",'Profils de colonie'!G189,IF($BA$31="r",'Profils de colonie'!G217,IF($BA$31="s",'Profils de colonie'!G245,IF($BA$31="f",'Profils de colonie'!G273,"erreur")))))))))</f>
        <v>0.5</v>
      </c>
      <c r="BT22" s="13">
        <f t="shared" si="5"/>
        <v>2250</v>
      </c>
      <c r="BU22" s="17">
        <f t="shared" si="6"/>
        <v>0.1125</v>
      </c>
      <c r="BV22">
        <f t="shared" si="39"/>
        <v>1350</v>
      </c>
      <c r="BW22" s="14">
        <f t="shared" si="40"/>
        <v>199.83622121957688</v>
      </c>
      <c r="BX22" s="14">
        <f t="shared" si="7"/>
        <v>112.5</v>
      </c>
      <c r="BY22" s="89">
        <f t="shared" si="41"/>
        <v>15.924010286688311</v>
      </c>
      <c r="BZ22" s="21">
        <f t="shared" si="8"/>
        <v>27.924010286688311</v>
      </c>
      <c r="CA22" s="26">
        <f t="shared" si="9"/>
        <v>0.57026229840201237</v>
      </c>
      <c r="CB22" s="103">
        <f t="shared" si="10"/>
        <v>0.42973770159798763</v>
      </c>
      <c r="CC22" s="22">
        <f t="shared" si="11"/>
        <v>216.27032924423634</v>
      </c>
      <c r="CD22" s="5">
        <f t="shared" si="12"/>
        <v>1350</v>
      </c>
      <c r="CE22" s="67">
        <f>IF($BA$31="d",'Profils de colonie'!K49,IF($BA$31="n",'Profils de colonie'!K77,IF($BA$31="p",'Profils de colonie'!K105,IF($BA$31="a",'Profils de colonie'!K133,IF($BA$31="b",'Profils de colonie'!K161,IF($BA$31="c",'Profils de colonie'!K189,IF($BA$31="r",'Profils de colonie'!K217,IF($BA$31="s",'Profils de colonie'!K217,IF($BA$31="f",'Profils de colonie'!K273,"erreur")))))))))</f>
        <v>0</v>
      </c>
      <c r="CF22" s="87">
        <f t="shared" si="42"/>
        <v>0</v>
      </c>
      <c r="CG22" s="63">
        <f t="shared" si="43"/>
        <v>0</v>
      </c>
      <c r="CH22" s="84">
        <f t="shared" si="44"/>
        <v>0</v>
      </c>
      <c r="CI22" s="60">
        <f t="shared" si="13"/>
        <v>0</v>
      </c>
      <c r="CJ22" s="61">
        <f t="shared" si="45"/>
        <v>0</v>
      </c>
      <c r="CK22" s="266">
        <f t="shared" si="46"/>
        <v>0</v>
      </c>
      <c r="CL22" s="267">
        <f t="shared" si="47"/>
        <v>0</v>
      </c>
      <c r="CM22" s="61">
        <f t="shared" si="14"/>
        <v>30.924010286688311</v>
      </c>
      <c r="CN22" s="265">
        <v>1</v>
      </c>
      <c r="CO22" s="71">
        <f t="shared" si="15"/>
        <v>4.2749999999999995</v>
      </c>
      <c r="CP22" s="65">
        <f t="shared" si="48"/>
        <v>9.8493837450082944E-2</v>
      </c>
      <c r="CQ22" s="85">
        <f t="shared" si="49"/>
        <v>0.42973770159798763</v>
      </c>
      <c r="CR22" s="59">
        <f t="shared" si="50"/>
        <v>1350</v>
      </c>
      <c r="CS22" s="59">
        <f t="shared" si="16"/>
        <v>216.27032924423634</v>
      </c>
      <c r="CT22" s="62">
        <f t="shared" si="17"/>
        <v>0.16020024388461951</v>
      </c>
      <c r="CU22" s="263">
        <f t="shared" si="51"/>
        <v>0.1480268305330199</v>
      </c>
      <c r="CV22" s="265">
        <f t="shared" si="52"/>
        <v>1.0822305731818744</v>
      </c>
      <c r="CW22" s="64">
        <f t="shared" si="18"/>
        <v>1</v>
      </c>
      <c r="CX22" s="62">
        <f t="shared" si="19"/>
        <v>27.924010286688311</v>
      </c>
      <c r="CY22" s="264">
        <v>1</v>
      </c>
      <c r="CZ22" s="70">
        <f t="shared" si="53"/>
        <v>2.2586249999999999</v>
      </c>
      <c r="DA22" s="66">
        <f t="shared" si="20"/>
        <v>6.518049768398862E-2</v>
      </c>
      <c r="DB22" s="91">
        <f t="shared" si="21"/>
        <v>2.8010517263730224E-2</v>
      </c>
      <c r="DC22" s="23">
        <f t="shared" si="22"/>
        <v>-5.0125418235442863E-3</v>
      </c>
      <c r="DD22" s="28">
        <f t="shared" si="23"/>
        <v>2.2997975440185937E-2</v>
      </c>
      <c r="DE22" s="315">
        <f t="shared" si="54"/>
        <v>145.15542888021184</v>
      </c>
      <c r="DF22" s="270">
        <f t="shared" si="69"/>
        <v>503.26124154346036</v>
      </c>
      <c r="DG22" s="178">
        <f t="shared" si="24"/>
        <v>352.28286908042224</v>
      </c>
      <c r="DH22" s="178">
        <f t="shared" si="70"/>
        <v>273.30551981127661</v>
      </c>
      <c r="DJ22" s="13">
        <f t="shared" si="25"/>
        <v>648.41667042367226</v>
      </c>
      <c r="DK22" s="199">
        <f t="shared" si="55"/>
        <v>47.593243409085403</v>
      </c>
      <c r="DL22" s="107">
        <f t="shared" si="26"/>
        <v>600.82342701458685</v>
      </c>
      <c r="DM22" s="182">
        <f>'Immigration de varroas'!E30</f>
        <v>0</v>
      </c>
      <c r="DN22" s="109">
        <f t="shared" si="56"/>
        <v>-113.98471874584337</v>
      </c>
      <c r="DO22" s="82">
        <f t="shared" si="64"/>
        <v>-113.98471874584337</v>
      </c>
      <c r="DP22" s="198">
        <f t="shared" si="27"/>
        <v>486.83870826874352</v>
      </c>
      <c r="DQ22" s="278">
        <f>FC$32</f>
        <v>0</v>
      </c>
      <c r="DR22" s="107">
        <f t="shared" si="57"/>
        <v>0</v>
      </c>
      <c r="DS22" s="79">
        <f t="shared" si="28"/>
        <v>486.83870826874352</v>
      </c>
      <c r="DT22" s="23">
        <f t="shared" si="29"/>
        <v>-2.1814703641977293E-3</v>
      </c>
      <c r="DU22" s="158">
        <f t="shared" si="30"/>
        <v>40817</v>
      </c>
      <c r="DV22" s="74">
        <f t="shared" si="31"/>
        <v>286.99091229922402</v>
      </c>
      <c r="DW22" s="23">
        <f t="shared" si="32"/>
        <v>1.4349545614961202E-2</v>
      </c>
      <c r="DX22" s="114">
        <f t="shared" si="33"/>
        <v>4.5201068687127783</v>
      </c>
      <c r="DY22" t="str">
        <f t="shared" si="65"/>
        <v/>
      </c>
      <c r="DZ22" t="str">
        <f t="shared" si="66"/>
        <v/>
      </c>
      <c r="EB22">
        <f t="shared" si="68"/>
        <v>0</v>
      </c>
      <c r="EC22" s="13">
        <f t="shared" si="58"/>
        <v>9239.0625</v>
      </c>
      <c r="ED22" s="14">
        <f t="shared" si="59"/>
        <v>-4000</v>
      </c>
      <c r="EE22" s="13">
        <f t="shared" si="60"/>
        <v>13239.0625</v>
      </c>
      <c r="EF22" s="13">
        <f t="shared" si="67"/>
        <v>870.5136986301369</v>
      </c>
      <c r="EG22" s="17">
        <f t="shared" si="61"/>
        <v>0.6</v>
      </c>
      <c r="EH22" s="197">
        <f t="shared" si="62"/>
        <v>113.98471874584337</v>
      </c>
      <c r="EJ22" s="13">
        <f t="shared" si="63"/>
        <v>145.15542888021184</v>
      </c>
      <c r="EK22" s="131">
        <f>FC$57</f>
        <v>223.28036848032423</v>
      </c>
      <c r="EL22" s="31">
        <f>FB$59</f>
        <v>0.22431935742572559</v>
      </c>
      <c r="EP22" s="2">
        <v>40817</v>
      </c>
      <c r="EQ22" s="193">
        <v>43191</v>
      </c>
      <c r="EU22" s="14"/>
      <c r="EV22" s="14"/>
      <c r="FB22" s="14">
        <f>AA20</f>
        <v>0</v>
      </c>
    </row>
    <row r="23" spans="2:164" ht="16" customHeight="1">
      <c r="B23" s="291" t="s">
        <v>117</v>
      </c>
      <c r="C23" s="292">
        <v>0</v>
      </c>
      <c r="D23" s="293">
        <f>'Rupture de couvain'!BD5</f>
        <v>0</v>
      </c>
      <c r="E23" s="293">
        <f>'Rupture de couvain'!BD6</f>
        <v>0</v>
      </c>
      <c r="F23" s="293">
        <f>'Rupture de couvain'!BD7</f>
        <v>0</v>
      </c>
      <c r="G23" s="293">
        <f>'Rupture de couvain'!BD8</f>
        <v>0</v>
      </c>
      <c r="H23" s="293">
        <f>'Rupture de couvain'!BD9</f>
        <v>0</v>
      </c>
      <c r="I23" s="293">
        <f>'Rupture de couvain'!BD10</f>
        <v>0</v>
      </c>
      <c r="J23" s="293">
        <f>'Rupture de couvain'!BD11</f>
        <v>0</v>
      </c>
      <c r="K23" s="293">
        <f>'Rupture de couvain'!BD12</f>
        <v>0</v>
      </c>
      <c r="L23" s="293">
        <f>'Rupture de couvain'!BD13</f>
        <v>0</v>
      </c>
      <c r="M23" s="293">
        <f>'Rupture de couvain'!BD14</f>
        <v>0</v>
      </c>
      <c r="N23" s="293">
        <f>'Rupture de couvain'!BD15</f>
        <v>0</v>
      </c>
      <c r="O23" s="293">
        <f>'Rupture de couvain'!BD16</f>
        <v>0</v>
      </c>
      <c r="P23" s="293">
        <f>'Rupture de couvain'!BD17</f>
        <v>0</v>
      </c>
      <c r="Q23" s="293">
        <f>'Rupture de couvain'!BD18</f>
        <v>0</v>
      </c>
      <c r="R23" s="293">
        <f>'Rupture de couvain'!BD19</f>
        <v>0</v>
      </c>
      <c r="S23" s="293">
        <f>'Rupture de couvain'!BD20</f>
        <v>0</v>
      </c>
      <c r="T23" s="293">
        <f>'Rupture de couvain'!BD21</f>
        <v>0</v>
      </c>
      <c r="U23" s="293">
        <f>'Rupture de couvain'!BD22</f>
        <v>0</v>
      </c>
      <c r="V23" s="293">
        <f>'Rupture de couvain'!BD23</f>
        <v>0</v>
      </c>
      <c r="W23" s="293">
        <f>'Rupture de couvain'!BD24</f>
        <v>0</v>
      </c>
      <c r="X23" s="293">
        <f>'Rupture de couvain'!BD25</f>
        <v>0</v>
      </c>
      <c r="Y23" s="293">
        <f>'Rupture de couvain'!BD26</f>
        <v>0</v>
      </c>
      <c r="Z23" s="304">
        <f>SUM(D23:Y23)</f>
        <v>0</v>
      </c>
      <c r="AA23" s="305" t="s">
        <v>118</v>
      </c>
      <c r="AB23" s="461"/>
      <c r="AC23" s="461"/>
      <c r="AD23" s="323"/>
      <c r="AE23" s="288">
        <f t="shared" si="34"/>
        <v>40831</v>
      </c>
      <c r="AF23" s="219"/>
      <c r="AZ23" s="374"/>
      <c r="BA23" s="288">
        <f t="shared" si="35"/>
        <v>40831</v>
      </c>
      <c r="BB23" s="48">
        <f t="shared" si="0"/>
        <v>486.83870826874352</v>
      </c>
      <c r="BC23" s="222">
        <f t="shared" si="36"/>
        <v>3.1576910107590623E-3</v>
      </c>
      <c r="BD23" s="173">
        <f t="shared" si="1"/>
        <v>0</v>
      </c>
      <c r="BE23" s="99">
        <f t="shared" si="37"/>
        <v>5.6352686697921994</v>
      </c>
      <c r="BF23" s="4">
        <f t="shared" si="2"/>
        <v>0.45689731656649946</v>
      </c>
      <c r="BG23" s="3">
        <f t="shared" si="3"/>
        <v>0.6614415556739095</v>
      </c>
      <c r="BH23" s="381" t="s">
        <v>125</v>
      </c>
      <c r="BI23" s="423" t="s">
        <v>126</v>
      </c>
      <c r="BJ23" s="424"/>
      <c r="BK23" s="424"/>
      <c r="BL23" s="424"/>
      <c r="BM23" s="425"/>
      <c r="BP23" s="158">
        <f t="shared" si="38"/>
        <v>40831</v>
      </c>
      <c r="BQ23" s="373">
        <f>IF($BA$31="d",'Profils de colonie'!I50,IF($BA$31="n",'Profils de colonie'!I78,IF($BA$31="p",'Profils de colonie'!I106,IF($BA$31="a",'Profils de colonie'!I134,IF($BA$31="b",'Profils de colonie'!I162,IF($BA$31="c",'Profils de colonie'!I190,IF($BA$31="r",'Profils de colonie'!I218,IF($BA$31="s",'Profils de colonie'!I246,IF($BA$31="f",'Profils de colonie'!I274,"erreur")))))))))</f>
        <v>9</v>
      </c>
      <c r="BR23">
        <f t="shared" si="4"/>
        <v>18000</v>
      </c>
      <c r="BS23" s="68">
        <f>IF($BA$31="d",'Profils de colonie'!G50,IF($BA$31="n",'Profils de colonie'!G78,IF($BA$31="p",'Profils de colonie'!G106,IF($BA$31="a",'Profils de colonie'!G134,IF($BA$31="b",'Profils de colonie'!G162,IF($BA$31="c",'Profils de colonie'!G190,IF($BA$31="r",'Profils de colonie'!G218,IF($BA$31="s",'Profils de colonie'!G246,IF($BA$31="f",'Profils de colonie'!G274,"erreur")))))))))</f>
        <v>0.1</v>
      </c>
      <c r="BT23" s="13">
        <f t="shared" si="5"/>
        <v>450</v>
      </c>
      <c r="BU23" s="17">
        <f t="shared" si="6"/>
        <v>2.5000000000000001E-2</v>
      </c>
      <c r="BV23">
        <f t="shared" si="39"/>
        <v>270</v>
      </c>
      <c r="BW23" s="14">
        <f t="shared" si="40"/>
        <v>123.36227547295485</v>
      </c>
      <c r="BX23" s="14">
        <f t="shared" si="7"/>
        <v>22.5</v>
      </c>
      <c r="BY23" s="89">
        <f t="shared" si="41"/>
        <v>23.444397270569681</v>
      </c>
      <c r="BZ23" s="21">
        <f t="shared" si="8"/>
        <v>35.444397270569681</v>
      </c>
      <c r="CA23" s="26">
        <f t="shared" si="9"/>
        <v>0.6614415556739095</v>
      </c>
      <c r="CB23" s="103">
        <f t="shared" si="10"/>
        <v>0.3385584443260905</v>
      </c>
      <c r="CC23" s="22">
        <f t="shared" si="11"/>
        <v>164.82335570918923</v>
      </c>
      <c r="CD23" s="5">
        <f t="shared" si="12"/>
        <v>270</v>
      </c>
      <c r="CE23" s="67">
        <f>IF($BA$31="d",'Profils de colonie'!K50,IF($BA$31="n",'Profils de colonie'!K78,IF($BA$31="p",'Profils de colonie'!K106,IF($BA$31="a",'Profils de colonie'!K134,IF($BA$31="b",'Profils de colonie'!K162,IF($BA$31="c",'Profils de colonie'!K190,IF($BA$31="r",'Profils de colonie'!K218,IF($BA$31="s",'Profils de colonie'!K218,IF($BA$31="f",'Profils de colonie'!K274,"erreur")))))))))</f>
        <v>0</v>
      </c>
      <c r="CF23" s="87">
        <f t="shared" si="42"/>
        <v>0</v>
      </c>
      <c r="CG23" s="63">
        <f t="shared" si="43"/>
        <v>0</v>
      </c>
      <c r="CH23" s="84">
        <f t="shared" si="44"/>
        <v>0</v>
      </c>
      <c r="CI23" s="60">
        <f t="shared" si="13"/>
        <v>0</v>
      </c>
      <c r="CJ23" s="61">
        <f t="shared" si="45"/>
        <v>0</v>
      </c>
      <c r="CK23" s="266">
        <f t="shared" si="46"/>
        <v>0</v>
      </c>
      <c r="CL23" s="267">
        <f t="shared" si="47"/>
        <v>0</v>
      </c>
      <c r="CM23" s="61">
        <f t="shared" si="14"/>
        <v>38.444397270569681</v>
      </c>
      <c r="CN23" s="265">
        <v>1</v>
      </c>
      <c r="CO23" s="71">
        <f t="shared" si="15"/>
        <v>4.2749999999999995</v>
      </c>
      <c r="CP23" s="65">
        <f t="shared" si="48"/>
        <v>9.8493837450082944E-2</v>
      </c>
      <c r="CQ23" s="85">
        <f t="shared" si="49"/>
        <v>0.3385584443260905</v>
      </c>
      <c r="CR23" s="59">
        <f t="shared" si="50"/>
        <v>270</v>
      </c>
      <c r="CS23" s="59">
        <f t="shared" si="16"/>
        <v>164.82335570918923</v>
      </c>
      <c r="CT23" s="62">
        <f t="shared" si="17"/>
        <v>0.61045687299699714</v>
      </c>
      <c r="CU23" s="263">
        <f t="shared" si="51"/>
        <v>0.45689731656649946</v>
      </c>
      <c r="CV23" s="265">
        <f t="shared" si="52"/>
        <v>1.3360891271923694</v>
      </c>
      <c r="CW23" s="64">
        <f t="shared" si="18"/>
        <v>1</v>
      </c>
      <c r="CX23" s="62">
        <f t="shared" si="19"/>
        <v>35.444397270569681</v>
      </c>
      <c r="CY23" s="264">
        <v>1</v>
      </c>
      <c r="CZ23" s="70">
        <f t="shared" si="53"/>
        <v>2.2586249999999999</v>
      </c>
      <c r="DA23" s="66">
        <f t="shared" si="20"/>
        <v>6.518049768398862E-2</v>
      </c>
      <c r="DB23" s="91">
        <f t="shared" si="21"/>
        <v>2.2067407896291531E-2</v>
      </c>
      <c r="DC23" s="23">
        <f t="shared" si="22"/>
        <v>-5.0125418235442863E-3</v>
      </c>
      <c r="DD23" s="28">
        <f t="shared" si="23"/>
        <v>1.7054866072747244E-2</v>
      </c>
      <c r="DE23" s="315">
        <f t="shared" si="54"/>
        <v>105.41726701226656</v>
      </c>
      <c r="DF23" s="270">
        <f t="shared" si="69"/>
        <v>486.83870826874352</v>
      </c>
      <c r="DG23" s="178">
        <f t="shared" si="24"/>
        <v>340.78709578812044</v>
      </c>
      <c r="DH23" s="178">
        <f t="shared" si="70"/>
        <v>264.34195344195007</v>
      </c>
      <c r="DJ23" s="13">
        <f t="shared" si="25"/>
        <v>592.25597528101002</v>
      </c>
      <c r="DK23" s="199">
        <f t="shared" si="55"/>
        <v>43.471095173442905</v>
      </c>
      <c r="DL23" s="107">
        <f t="shared" si="26"/>
        <v>548.78488010756712</v>
      </c>
      <c r="DM23" s="182">
        <f>'Immigration de varroas'!E31</f>
        <v>0</v>
      </c>
      <c r="DN23" s="109">
        <f t="shared" si="56"/>
        <v>-37.996134438732824</v>
      </c>
      <c r="DO23" s="82">
        <f t="shared" si="64"/>
        <v>-37.996134438732824</v>
      </c>
      <c r="DP23" s="198">
        <f t="shared" si="27"/>
        <v>510.78874566883428</v>
      </c>
      <c r="DQ23" s="278">
        <f>FD$32</f>
        <v>0</v>
      </c>
      <c r="DR23" s="107">
        <f t="shared" si="57"/>
        <v>0</v>
      </c>
      <c r="DS23" s="79">
        <f t="shared" si="28"/>
        <v>510.78874566883428</v>
      </c>
      <c r="DT23" s="23">
        <f t="shared" si="29"/>
        <v>3.1576910107590623E-3</v>
      </c>
      <c r="DU23" s="158">
        <f t="shared" si="30"/>
        <v>40831</v>
      </c>
      <c r="DV23" s="74">
        <f t="shared" si="31"/>
        <v>322.01535255955429</v>
      </c>
      <c r="DW23" s="23">
        <f t="shared" si="32"/>
        <v>1.7889741808864126E-2</v>
      </c>
      <c r="DX23" s="114">
        <f t="shared" si="33"/>
        <v>5.6352686697921994</v>
      </c>
      <c r="DY23" t="str">
        <f t="shared" si="65"/>
        <v/>
      </c>
      <c r="DZ23" t="str">
        <f t="shared" si="66"/>
        <v/>
      </c>
      <c r="EB23">
        <f t="shared" si="68"/>
        <v>0</v>
      </c>
      <c r="EC23" s="13">
        <f t="shared" si="58"/>
        <v>1539.84375</v>
      </c>
      <c r="ED23" s="14">
        <f t="shared" si="59"/>
        <v>-2000</v>
      </c>
      <c r="EE23" s="13">
        <f t="shared" si="60"/>
        <v>3539.84375</v>
      </c>
      <c r="EF23" s="13">
        <f t="shared" si="67"/>
        <v>232.75684931506848</v>
      </c>
      <c r="EG23" s="17">
        <f t="shared" si="61"/>
        <v>0.6</v>
      </c>
      <c r="EH23" s="197">
        <f t="shared" si="62"/>
        <v>37.996134438732824</v>
      </c>
      <c r="EJ23" s="13">
        <f t="shared" si="63"/>
        <v>105.41726701226656</v>
      </c>
      <c r="EK23" s="131">
        <f>FD$57</f>
        <v>277.90684988516608</v>
      </c>
      <c r="EL23" s="31">
        <f>FC$59</f>
        <v>0.25215265033401635</v>
      </c>
      <c r="EP23" s="2">
        <v>40831</v>
      </c>
      <c r="EQ23" s="193">
        <v>43205</v>
      </c>
      <c r="ET23">
        <v>25.83</v>
      </c>
      <c r="EU23" s="14"/>
      <c r="EV23" s="14"/>
    </row>
    <row r="24" spans="2:164" ht="16" customHeight="1">
      <c r="B24" s="153" t="s">
        <v>37</v>
      </c>
      <c r="C24" s="297">
        <f>1-'Rupture de couvain'!BG4</f>
        <v>0.30709911469777329</v>
      </c>
      <c r="D24" s="297">
        <f>1-'Rupture de couvain'!BG5</f>
        <v>0</v>
      </c>
      <c r="E24" s="297">
        <f>1-'Rupture de couvain'!BG6</f>
        <v>0</v>
      </c>
      <c r="F24" s="297">
        <f>1-'Rupture de couvain'!BG7</f>
        <v>0.30709911469777329</v>
      </c>
      <c r="G24" s="297">
        <f>1-'Rupture de couvain'!BG8</f>
        <v>0</v>
      </c>
      <c r="H24" s="297">
        <f>1-'Rupture de couvain'!BG9</f>
        <v>0.47300180271247205</v>
      </c>
      <c r="I24" s="297">
        <f>1-'Rupture de couvain'!BG10</f>
        <v>0.54784148420074841</v>
      </c>
      <c r="J24" s="297">
        <f>1-'Rupture de couvain'!BG11</f>
        <v>0.8659910150039587</v>
      </c>
      <c r="K24" s="297">
        <f>1-'Rupture de couvain'!BG12</f>
        <v>0.81473454824975156</v>
      </c>
      <c r="L24" s="297">
        <f>1-'Rupture de couvain'!BG13</f>
        <v>0.73121308739562751</v>
      </c>
      <c r="M24" s="297">
        <f>1-'Rupture de couvain'!BG14</f>
        <v>0.68466566827566644</v>
      </c>
      <c r="N24" s="297">
        <f>1-'Rupture de couvain'!BG15</f>
        <v>0.65081532324296698</v>
      </c>
      <c r="O24" s="297">
        <f>1-'Rupture de couvain'!BG16</f>
        <v>0.59180252123775623</v>
      </c>
      <c r="P24" s="297">
        <f>1-'Rupture de couvain'!BG17</f>
        <v>0.56634115454232203</v>
      </c>
      <c r="Q24" s="297">
        <f>1-'Rupture de couvain'!BG18</f>
        <v>0.55763789267006758</v>
      </c>
      <c r="R24" s="297">
        <f>1-'Rupture de couvain'!BG19</f>
        <v>0.57163167812269144</v>
      </c>
      <c r="S24" s="297">
        <f>1-'Rupture de couvain'!BG20</f>
        <v>0.60371827901019159</v>
      </c>
      <c r="T24" s="297">
        <f>1-'Rupture de couvain'!BG21</f>
        <v>0.60371827901019159</v>
      </c>
      <c r="U24" s="297">
        <f>1-'Rupture de couvain'!BG22</f>
        <v>0.42973770159798763</v>
      </c>
      <c r="V24" s="297">
        <f>1-'Rupture de couvain'!BG23</f>
        <v>0.3385584443260905</v>
      </c>
      <c r="W24" s="297">
        <f>1-'Rupture de couvain'!BG24</f>
        <v>0</v>
      </c>
      <c r="X24" s="297">
        <f>1-'Rupture de couvain'!BG25</f>
        <v>0</v>
      </c>
      <c r="Y24" s="297">
        <f>1-'Rupture de couvain'!BG26</f>
        <v>0</v>
      </c>
      <c r="Z24" s="297">
        <f>1-'Rupture de couvain'!BG27</f>
        <v>0</v>
      </c>
      <c r="AA24" s="298">
        <f>1-'Rupture de couvain'!BG28</f>
        <v>0</v>
      </c>
      <c r="AB24" s="461"/>
      <c r="AC24" s="461"/>
      <c r="AD24" s="324"/>
      <c r="AE24" s="288">
        <f t="shared" si="34"/>
        <v>40848</v>
      </c>
      <c r="AF24" s="219"/>
      <c r="AG24" s="445" t="s">
        <v>122</v>
      </c>
      <c r="AH24" s="445"/>
      <c r="AI24" s="445"/>
      <c r="AJ24" s="445"/>
      <c r="AK24" s="445"/>
      <c r="AL24" s="445"/>
      <c r="AM24" s="445"/>
      <c r="AN24" s="445"/>
      <c r="AO24" s="445"/>
      <c r="AP24" s="445"/>
      <c r="AQ24" s="445"/>
      <c r="AR24" s="445"/>
      <c r="AS24" s="445"/>
      <c r="AT24" s="445"/>
      <c r="AU24" s="445"/>
      <c r="AV24" s="446"/>
      <c r="AW24" s="489">
        <f>LN(BB21/BB11)/(BA21-BA11)</f>
        <v>1.0407314225556562E-2</v>
      </c>
      <c r="AX24" s="490"/>
      <c r="AZ24" s="374"/>
      <c r="BA24" s="288">
        <f t="shared" si="35"/>
        <v>40848</v>
      </c>
      <c r="BB24" s="48">
        <f t="shared" si="0"/>
        <v>510.78874566883428</v>
      </c>
      <c r="BC24" s="222">
        <f t="shared" si="36"/>
        <v>-1.1460261591395748E-2</v>
      </c>
      <c r="BD24" s="173">
        <f t="shared" si="1"/>
        <v>0</v>
      </c>
      <c r="BE24" s="99">
        <f t="shared" si="37"/>
        <v>10.056153430355174</v>
      </c>
      <c r="BF24" s="4" t="str">
        <f t="shared" si="2"/>
        <v>s.o.</v>
      </c>
      <c r="BG24" s="3">
        <f t="shared" si="3"/>
        <v>1</v>
      </c>
      <c r="BH24" s="380"/>
      <c r="BI24" s="426"/>
      <c r="BJ24" s="427"/>
      <c r="BK24" s="427"/>
      <c r="BL24" s="427"/>
      <c r="BM24" s="428"/>
      <c r="BP24" s="158">
        <f t="shared" si="38"/>
        <v>40848</v>
      </c>
      <c r="BQ24" s="373">
        <f>IF($BA$31="d",'Profils de colonie'!I51,IF($BA$31="n",'Profils de colonie'!I79,IF($BA$31="p",'Profils de colonie'!I107,IF($BA$31="a",'Profils de colonie'!I135,IF($BA$31="b",'Profils de colonie'!I163,IF($BA$31="c",'Profils de colonie'!I191,IF($BA$31="r",'Profils de colonie'!I219,IF($BA$31="s",'Profils de colonie'!I247,IF($BA$31="f",'Profils de colonie'!I275,"erreur")))))))))</f>
        <v>8</v>
      </c>
      <c r="BR24">
        <f t="shared" si="4"/>
        <v>16000</v>
      </c>
      <c r="BS24" s="68">
        <f>IF($BA$31="d",'Profils de colonie'!G51,IF($BA$31="n",'Profils de colonie'!G79,IF($BA$31="p",'Profils de colonie'!G107,IF($BA$31="a",'Profils de colonie'!G135,IF($BA$31="b",'Profils de colonie'!G163,IF($BA$31="c",'Profils de colonie'!G191,IF($BA$31="r",'Profils de colonie'!G219,IF($BA$31="s",'Profils de colonie'!G247,IF($BA$31="f",'Profils de colonie'!G275,"erreur")))))))))</f>
        <v>0</v>
      </c>
      <c r="BT24" s="13">
        <f t="shared" si="5"/>
        <v>1</v>
      </c>
      <c r="BU24" s="17">
        <f t="shared" si="6"/>
        <v>6.2500000000000001E-5</v>
      </c>
      <c r="BV24">
        <f t="shared" si="39"/>
        <v>0.6</v>
      </c>
      <c r="BW24" s="14">
        <f t="shared" si="40"/>
        <v>0</v>
      </c>
      <c r="BX24" s="14">
        <f t="shared" si="7"/>
        <v>0.05</v>
      </c>
      <c r="BY24" s="89">
        <f t="shared" si="41"/>
        <v>53.401720006109592</v>
      </c>
      <c r="BZ24" s="21">
        <f t="shared" si="8"/>
        <v>65.401720006109599</v>
      </c>
      <c r="CA24" s="26">
        <f t="shared" si="9"/>
        <v>1</v>
      </c>
      <c r="CB24" s="103">
        <f t="shared" si="10"/>
        <v>0</v>
      </c>
      <c r="CC24" s="22">
        <f t="shared" si="11"/>
        <v>0</v>
      </c>
      <c r="CD24" s="5">
        <f t="shared" si="12"/>
        <v>0.6</v>
      </c>
      <c r="CE24" s="67">
        <f>IF($BA$31="d",'Profils de colonie'!K51,IF($BA$31="n",'Profils de colonie'!K79,IF($BA$31="p",'Profils de colonie'!K107,IF($BA$31="a",'Profils de colonie'!K135,IF($BA$31="b",'Profils de colonie'!K163,IF($BA$31="c",'Profils de colonie'!K191,IF($BA$31="r",'Profils de colonie'!K219,IF($BA$31="s",'Profils de colonie'!K219,IF($BA$31="f",'Profils de colonie'!K275,"erreur")))))))))</f>
        <v>0</v>
      </c>
      <c r="CF24" s="87">
        <f t="shared" si="42"/>
        <v>0</v>
      </c>
      <c r="CG24" s="63">
        <f t="shared" si="43"/>
        <v>0</v>
      </c>
      <c r="CH24" s="84">
        <f t="shared" si="44"/>
        <v>0</v>
      </c>
      <c r="CI24" s="60">
        <f t="shared" si="13"/>
        <v>0</v>
      </c>
      <c r="CJ24" s="61">
        <f t="shared" si="45"/>
        <v>0</v>
      </c>
      <c r="CK24" s="266">
        <f t="shared" si="46"/>
        <v>0</v>
      </c>
      <c r="CL24" s="267">
        <f t="shared" si="47"/>
        <v>0</v>
      </c>
      <c r="CM24" s="61">
        <f t="shared" si="14"/>
        <v>68.401720006109599</v>
      </c>
      <c r="CN24" s="265">
        <v>1</v>
      </c>
      <c r="CO24" s="71">
        <f t="shared" si="15"/>
        <v>4.2749999999999995</v>
      </c>
      <c r="CP24" s="65">
        <f t="shared" si="48"/>
        <v>9.8493837450082944E-2</v>
      </c>
      <c r="CQ24" s="85">
        <f t="shared" si="49"/>
        <v>0</v>
      </c>
      <c r="CR24" s="59">
        <f t="shared" si="50"/>
        <v>0.6</v>
      </c>
      <c r="CS24" s="59">
        <f t="shared" si="16"/>
        <v>0</v>
      </c>
      <c r="CT24" s="62">
        <f t="shared" si="17"/>
        <v>0</v>
      </c>
      <c r="CU24" s="263">
        <f t="shared" si="51"/>
        <v>0</v>
      </c>
      <c r="CV24" s="265">
        <f t="shared" si="52"/>
        <v>0</v>
      </c>
      <c r="CW24" s="64">
        <f t="shared" si="18"/>
        <v>1</v>
      </c>
      <c r="CX24" s="62">
        <f t="shared" si="19"/>
        <v>65.401720006109599</v>
      </c>
      <c r="CY24" s="264">
        <v>1</v>
      </c>
      <c r="CZ24" s="70">
        <f t="shared" si="53"/>
        <v>2.2586249999999999</v>
      </c>
      <c r="DA24" s="66">
        <f t="shared" si="20"/>
        <v>0</v>
      </c>
      <c r="DB24" s="91">
        <f t="shared" si="21"/>
        <v>0</v>
      </c>
      <c r="DC24" s="23">
        <f t="shared" si="22"/>
        <v>-5.0125418235442863E-3</v>
      </c>
      <c r="DD24" s="28">
        <f t="shared" si="23"/>
        <v>-5.0125418235442863E-3</v>
      </c>
      <c r="DE24" s="315">
        <f t="shared" si="54"/>
        <v>0</v>
      </c>
      <c r="DF24" s="270">
        <f t="shared" si="69"/>
        <v>510.78874566883428</v>
      </c>
      <c r="DG24" s="178">
        <f t="shared" si="24"/>
        <v>357.552121968184</v>
      </c>
      <c r="DH24" s="178">
        <f t="shared" si="70"/>
        <v>267.39440678135492</v>
      </c>
      <c r="DJ24" s="13">
        <f t="shared" si="25"/>
        <v>510.78874566883428</v>
      </c>
      <c r="DK24" s="199">
        <f t="shared" si="55"/>
        <v>37.491468390771274</v>
      </c>
      <c r="DL24" s="107">
        <f t="shared" si="26"/>
        <v>473.29727727806301</v>
      </c>
      <c r="DM24" s="182">
        <f>'Immigration de varroas'!E32</f>
        <v>0</v>
      </c>
      <c r="DN24" s="109">
        <f t="shared" si="56"/>
        <v>-44.208167357076277</v>
      </c>
      <c r="DO24" s="82">
        <f t="shared" si="64"/>
        <v>-44.208167357076277</v>
      </c>
      <c r="DP24" s="198">
        <f t="shared" si="27"/>
        <v>429.08910992098674</v>
      </c>
      <c r="DQ24" s="278">
        <f>FE$32</f>
        <v>0</v>
      </c>
      <c r="DR24" s="107">
        <f t="shared" si="57"/>
        <v>0</v>
      </c>
      <c r="DS24" s="79">
        <f t="shared" si="28"/>
        <v>429.08910992098674</v>
      </c>
      <c r="DT24" s="23">
        <f t="shared" si="29"/>
        <v>-1.1460261591395748E-2</v>
      </c>
      <c r="DU24" s="158">
        <f t="shared" si="30"/>
        <v>40848</v>
      </c>
      <c r="DV24" s="74">
        <f t="shared" si="31"/>
        <v>510.78874566883428</v>
      </c>
      <c r="DW24" s="23">
        <f t="shared" si="32"/>
        <v>3.1924296604302141E-2</v>
      </c>
      <c r="DX24" s="114">
        <f t="shared" si="33"/>
        <v>10.056153430355174</v>
      </c>
      <c r="DY24" t="str">
        <f t="shared" si="65"/>
        <v/>
      </c>
      <c r="DZ24" t="str">
        <f t="shared" si="66"/>
        <v/>
      </c>
      <c r="EA24">
        <f>IF(DX$21&gt;60,100,0)</f>
        <v>0</v>
      </c>
      <c r="EB24">
        <f t="shared" si="68"/>
        <v>0</v>
      </c>
      <c r="EC24" s="13">
        <f t="shared" si="58"/>
        <v>307.96875</v>
      </c>
      <c r="ED24" s="14">
        <f t="shared" si="59"/>
        <v>-2000</v>
      </c>
      <c r="EE24" s="13">
        <f t="shared" si="60"/>
        <v>2307.96875</v>
      </c>
      <c r="EF24" s="13">
        <f t="shared" si="67"/>
        <v>151.75684931506848</v>
      </c>
      <c r="EG24" s="17">
        <f t="shared" si="61"/>
        <v>0.6</v>
      </c>
      <c r="EH24" s="197">
        <f t="shared" si="62"/>
        <v>44.208167357076277</v>
      </c>
      <c r="EJ24" s="13">
        <f t="shared" si="63"/>
        <v>0</v>
      </c>
      <c r="EK24" s="131">
        <f>FE$57</f>
        <v>346.57656284985825</v>
      </c>
      <c r="EL24" s="31">
        <f>FD$59</f>
        <v>0.30389568524679478</v>
      </c>
      <c r="EP24" s="2">
        <v>40848</v>
      </c>
      <c r="EQ24" s="193">
        <v>43221</v>
      </c>
      <c r="EU24" s="14"/>
      <c r="EV24" s="14"/>
    </row>
    <row r="25" spans="2:164" ht="16.19" customHeight="1">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323"/>
      <c r="AE25" s="288">
        <f t="shared" si="34"/>
        <v>40862</v>
      </c>
      <c r="AF25" s="219"/>
      <c r="AG25" s="448" t="s">
        <v>123</v>
      </c>
      <c r="AH25" s="448"/>
      <c r="AI25" s="448"/>
      <c r="AJ25" s="448"/>
      <c r="AK25" s="448"/>
      <c r="AL25" s="448"/>
      <c r="AM25" s="448"/>
      <c r="AN25" s="448"/>
      <c r="AO25" s="448"/>
      <c r="AP25" s="448"/>
      <c r="AQ25" s="448"/>
      <c r="AR25" s="448"/>
      <c r="AS25" s="448"/>
      <c r="AT25" s="448"/>
      <c r="AU25" s="448"/>
      <c r="AV25" s="449"/>
      <c r="AW25" s="491" t="s">
        <v>124</v>
      </c>
      <c r="AX25" s="492"/>
      <c r="AZ25" s="374"/>
      <c r="BA25" s="288">
        <f t="shared" si="35"/>
        <v>40862</v>
      </c>
      <c r="BB25" s="48">
        <f t="shared" si="0"/>
        <v>429.08910992098674</v>
      </c>
      <c r="BC25" s="222">
        <f t="shared" si="36"/>
        <v>-5.0143630213130364E-3</v>
      </c>
      <c r="BD25" s="173">
        <f t="shared" si="1"/>
        <v>0</v>
      </c>
      <c r="BE25" s="99">
        <f t="shared" si="37"/>
        <v>8.4476918515694273</v>
      </c>
      <c r="BF25" s="4" t="str">
        <f t="shared" si="2"/>
        <v>s.o.</v>
      </c>
      <c r="BG25" s="3">
        <f t="shared" si="3"/>
        <v>1</v>
      </c>
      <c r="BM25" s="31"/>
      <c r="BP25" s="158">
        <f t="shared" si="38"/>
        <v>40862</v>
      </c>
      <c r="BQ25" s="373">
        <f>IF($BA$31="d",'Profils de colonie'!I52,IF($BA$31="n",'Profils de colonie'!I80,IF($BA$31="p",'Profils de colonie'!I108,IF($BA$31="a",'Profils de colonie'!I136,IF($BA$31="b",'Profils de colonie'!I164,IF($BA$31="c",'Profils de colonie'!I192,IF($BA$31="r",'Profils de colonie'!I220,IF($BA$31="s",'Profils de colonie'!I248,IF($BA$31="f",'Profils de colonie'!I276,"erreur")))))))))</f>
        <v>8</v>
      </c>
      <c r="BR25">
        <f t="shared" si="4"/>
        <v>16000</v>
      </c>
      <c r="BS25" s="68">
        <f>IF($BA$31="d",'Profils de colonie'!G52,IF($BA$31="n",'Profils de colonie'!G80,IF($BA$31="p",'Profils de colonie'!G108,IF($BA$31="a",'Profils de colonie'!G136,IF($BA$31="b",'Profils de colonie'!G164,IF($BA$31="c",'Profils de colonie'!G192,IF($BA$31="r",'Profils de colonie'!G220,IF($BA$31="s",'Profils de colonie'!G248,IF($BA$31="f",'Profils de colonie'!G276,"erreur")))))))))</f>
        <v>0</v>
      </c>
      <c r="BT25" s="13">
        <f t="shared" si="5"/>
        <v>1</v>
      </c>
      <c r="BU25" s="17">
        <f t="shared" si="6"/>
        <v>6.2500000000000001E-5</v>
      </c>
      <c r="BV25">
        <f t="shared" si="39"/>
        <v>0.6</v>
      </c>
      <c r="BW25" s="14">
        <f t="shared" si="40"/>
        <v>0</v>
      </c>
      <c r="BX25" s="14">
        <f t="shared" si="7"/>
        <v>0.05</v>
      </c>
      <c r="BY25" s="89">
        <f t="shared" si="41"/>
        <v>53.401720006109592</v>
      </c>
      <c r="BZ25" s="21">
        <f t="shared" si="8"/>
        <v>65.401720006109599</v>
      </c>
      <c r="CA25" s="26">
        <f t="shared" si="9"/>
        <v>1</v>
      </c>
      <c r="CB25" s="103">
        <f t="shared" si="10"/>
        <v>0</v>
      </c>
      <c r="CC25" s="22">
        <f t="shared" si="11"/>
        <v>0</v>
      </c>
      <c r="CD25" s="5">
        <f t="shared" si="12"/>
        <v>0.6</v>
      </c>
      <c r="CE25" s="67">
        <f>IF($BA$31="d",'Profils de colonie'!K52,IF($BA$31="n",'Profils de colonie'!K80,IF($BA$31="p",'Profils de colonie'!K108,IF($BA$31="a",'Profils de colonie'!K136,IF($BA$31="b",'Profils de colonie'!K164,IF($BA$31="c",'Profils de colonie'!K192,IF($BA$31="r",'Profils de colonie'!K220,IF($BA$31="s",'Profils de colonie'!K220,IF($BA$31="f",'Profils de colonie'!K276,"erreur")))))))))</f>
        <v>0</v>
      </c>
      <c r="CF25" s="87">
        <f t="shared" si="42"/>
        <v>0</v>
      </c>
      <c r="CG25" s="63">
        <f t="shared" si="43"/>
        <v>0</v>
      </c>
      <c r="CH25" s="84">
        <f t="shared" si="44"/>
        <v>0</v>
      </c>
      <c r="CI25" s="60">
        <f t="shared" si="13"/>
        <v>0</v>
      </c>
      <c r="CJ25" s="61">
        <f t="shared" si="45"/>
        <v>0</v>
      </c>
      <c r="CK25" s="266">
        <f t="shared" si="46"/>
        <v>0</v>
      </c>
      <c r="CL25" s="267">
        <f t="shared" si="47"/>
        <v>0</v>
      </c>
      <c r="CM25" s="61">
        <f t="shared" si="14"/>
        <v>68.401720006109599</v>
      </c>
      <c r="CN25" s="265">
        <v>1</v>
      </c>
      <c r="CO25" s="71">
        <f t="shared" si="15"/>
        <v>4.2749999999999995</v>
      </c>
      <c r="CP25" s="65">
        <f t="shared" si="48"/>
        <v>9.8493837450082944E-2</v>
      </c>
      <c r="CQ25" s="85">
        <f t="shared" si="49"/>
        <v>0</v>
      </c>
      <c r="CR25" s="59">
        <f t="shared" si="50"/>
        <v>0.6</v>
      </c>
      <c r="CS25" s="59">
        <f t="shared" si="16"/>
        <v>0</v>
      </c>
      <c r="CT25" s="62">
        <f t="shared" si="17"/>
        <v>0</v>
      </c>
      <c r="CU25" s="263">
        <f t="shared" si="51"/>
        <v>0</v>
      </c>
      <c r="CV25" s="265">
        <f t="shared" si="52"/>
        <v>0</v>
      </c>
      <c r="CW25" s="64">
        <f t="shared" si="18"/>
        <v>1</v>
      </c>
      <c r="CX25" s="62">
        <f t="shared" si="19"/>
        <v>65.401720006109599</v>
      </c>
      <c r="CY25" s="264">
        <v>1</v>
      </c>
      <c r="CZ25" s="70">
        <f t="shared" si="53"/>
        <v>2.2586249999999999</v>
      </c>
      <c r="DA25" s="66">
        <f t="shared" si="20"/>
        <v>0</v>
      </c>
      <c r="DB25" s="91">
        <f t="shared" si="21"/>
        <v>0</v>
      </c>
      <c r="DC25" s="23">
        <f t="shared" si="22"/>
        <v>-5.0125418235442863E-3</v>
      </c>
      <c r="DD25" s="28">
        <f t="shared" si="23"/>
        <v>-5.0125418235442863E-3</v>
      </c>
      <c r="DE25" s="315">
        <f t="shared" si="54"/>
        <v>0</v>
      </c>
      <c r="DF25" s="270">
        <f t="shared" si="69"/>
        <v>429.08910992098674</v>
      </c>
      <c r="DG25" s="178">
        <f t="shared" si="24"/>
        <v>300.36237694469071</v>
      </c>
      <c r="DH25" s="178">
        <f t="shared" si="70"/>
        <v>209.08354658072784</v>
      </c>
      <c r="DJ25" s="13">
        <f t="shared" si="25"/>
        <v>429.08910992098674</v>
      </c>
      <c r="DK25" s="199">
        <f t="shared" si="55"/>
        <v>31.494783191360398</v>
      </c>
      <c r="DL25" s="107">
        <f t="shared" si="26"/>
        <v>397.59432672962635</v>
      </c>
      <c r="DM25" s="182">
        <f>'Immigration de varroas'!E33</f>
        <v>0</v>
      </c>
      <c r="DN25" s="109">
        <f t="shared" si="56"/>
        <v>-1.1012169735081572E-2</v>
      </c>
      <c r="DO25" s="82">
        <f t="shared" si="64"/>
        <v>-1.1012169735081572E-2</v>
      </c>
      <c r="DP25" s="198">
        <f t="shared" si="27"/>
        <v>397.58331455989128</v>
      </c>
      <c r="DQ25" s="278">
        <f>FF$32</f>
        <v>0</v>
      </c>
      <c r="DR25" s="107">
        <f t="shared" si="57"/>
        <v>0</v>
      </c>
      <c r="DS25" s="79">
        <f t="shared" si="28"/>
        <v>397.58331455989128</v>
      </c>
      <c r="DT25" s="23">
        <f t="shared" si="29"/>
        <v>-5.0143630213130364E-3</v>
      </c>
      <c r="DU25" s="158">
        <f t="shared" si="30"/>
        <v>40862</v>
      </c>
      <c r="DV25" s="74">
        <f t="shared" si="31"/>
        <v>429.08910992098674</v>
      </c>
      <c r="DW25" s="23">
        <f t="shared" si="32"/>
        <v>2.6818069370061672E-2</v>
      </c>
      <c r="DX25" s="114">
        <f t="shared" si="33"/>
        <v>8.4476918515694273</v>
      </c>
      <c r="DY25" t="str">
        <f t="shared" si="65"/>
        <v/>
      </c>
      <c r="DZ25" t="str">
        <f t="shared" si="66"/>
        <v/>
      </c>
      <c r="EA25">
        <f>IF(DX$21&gt;60,100,0)</f>
        <v>0</v>
      </c>
      <c r="EB25">
        <f t="shared" si="68"/>
        <v>0</v>
      </c>
      <c r="EC25" s="13">
        <f t="shared" si="58"/>
        <v>0.68437499999999996</v>
      </c>
      <c r="ED25" s="14">
        <f t="shared" si="59"/>
        <v>0</v>
      </c>
      <c r="EE25" s="13">
        <f t="shared" si="60"/>
        <v>0.68437499999999996</v>
      </c>
      <c r="EF25" s="13">
        <f t="shared" si="67"/>
        <v>4.4999999999999998E-2</v>
      </c>
      <c r="EG25" s="17">
        <f t="shared" si="61"/>
        <v>0.6</v>
      </c>
      <c r="EH25" s="197">
        <f t="shared" si="62"/>
        <v>1.1012169735081572E-2</v>
      </c>
      <c r="EJ25" s="13">
        <f t="shared" si="63"/>
        <v>0</v>
      </c>
      <c r="EK25" s="131">
        <f>FF$57</f>
        <v>427.09021870554864</v>
      </c>
      <c r="EL25" s="31">
        <f>FE$59</f>
        <v>0.41479040995730498</v>
      </c>
      <c r="EP25" s="2">
        <v>40862</v>
      </c>
      <c r="EQ25" s="193">
        <v>43235</v>
      </c>
      <c r="ET25">
        <v>17.954999999999998</v>
      </c>
      <c r="EU25" s="14"/>
      <c r="EV25" s="14"/>
    </row>
    <row r="26" spans="2:164" ht="16.19" customHeight="1">
      <c r="B26" s="289"/>
      <c r="C26" s="289"/>
      <c r="D26" s="289"/>
      <c r="E26" s="289"/>
      <c r="F26" s="289"/>
      <c r="G26" s="289"/>
      <c r="H26" s="289"/>
      <c r="I26" s="289"/>
      <c r="J26" s="289"/>
      <c r="K26" s="289"/>
      <c r="L26" s="289"/>
      <c r="M26" s="289"/>
      <c r="N26" s="289"/>
      <c r="O26" s="289"/>
      <c r="P26" s="289"/>
      <c r="Q26" s="289"/>
      <c r="R26" s="289"/>
      <c r="S26" s="289"/>
      <c r="T26" s="289"/>
      <c r="U26" s="289"/>
      <c r="V26" s="289"/>
      <c r="W26" s="289"/>
      <c r="X26" s="289"/>
      <c r="Y26" s="289"/>
      <c r="Z26" s="289"/>
      <c r="AA26" s="289"/>
      <c r="AB26" s="289"/>
      <c r="AC26" s="289"/>
      <c r="AD26" s="323"/>
      <c r="AE26" s="288">
        <f t="shared" si="34"/>
        <v>40878</v>
      </c>
      <c r="AF26" s="299"/>
      <c r="AG26" s="6"/>
      <c r="AU26" s="374"/>
      <c r="AZ26" s="374"/>
      <c r="BA26" s="288">
        <f t="shared" si="35"/>
        <v>40878</v>
      </c>
      <c r="BB26" s="48">
        <f t="shared" si="0"/>
        <v>397.58331455989128</v>
      </c>
      <c r="BC26" s="222">
        <f t="shared" si="36"/>
        <v>-5.0143630213130364E-3</v>
      </c>
      <c r="BD26" s="173">
        <f t="shared" si="1"/>
        <v>0</v>
      </c>
      <c r="BE26" s="99">
        <f t="shared" si="37"/>
        <v>7.8274215053978589</v>
      </c>
      <c r="BF26" s="4" t="str">
        <f t="shared" si="2"/>
        <v>s.o.</v>
      </c>
      <c r="BG26" s="3">
        <f t="shared" si="3"/>
        <v>1</v>
      </c>
      <c r="BM26" s="31"/>
      <c r="BP26" s="158">
        <f t="shared" si="38"/>
        <v>40878</v>
      </c>
      <c r="BQ26" s="373">
        <f>IF($BA$31="d",'Profils de colonie'!I53,IF($BA$31="n",'Profils de colonie'!I81,IF($BA$31="p",'Profils de colonie'!I109,IF($BA$31="a",'Profils de colonie'!I137,IF($BA$31="b",'Profils de colonie'!I165,IF($BA$31="c",'Profils de colonie'!I193,IF($BA$31="r",'Profils de colonie'!I221,IF($BA$31="s",'Profils de colonie'!I249,IF($BA$31="f",'Profils de colonie'!I277,"erreur")))))))))</f>
        <v>8</v>
      </c>
      <c r="BR26">
        <f t="shared" si="4"/>
        <v>16000</v>
      </c>
      <c r="BS26" s="68">
        <f>IF($BA$31="d",'Profils de colonie'!G53,IF($BA$31="n",'Profils de colonie'!G81,IF($BA$31="p",'Profils de colonie'!G109,IF($BA$31="a",'Profils de colonie'!G137,IF($BA$31="b",'Profils de colonie'!G165,IF($BA$31="c",'Profils de colonie'!G193,IF($BA$31="r",'Profils de colonie'!G221,IF($BA$31="s",'Profils de colonie'!G249,IF($BA$31="f",'Profils de colonie'!G277,"erreur")))))))))</f>
        <v>0</v>
      </c>
      <c r="BT26" s="13">
        <f t="shared" si="5"/>
        <v>1</v>
      </c>
      <c r="BU26" s="17">
        <f t="shared" si="6"/>
        <v>6.2500000000000001E-5</v>
      </c>
      <c r="BV26">
        <f t="shared" si="39"/>
        <v>0.6</v>
      </c>
      <c r="BW26" s="14">
        <f t="shared" si="40"/>
        <v>0</v>
      </c>
      <c r="BX26" s="14">
        <f t="shared" si="7"/>
        <v>0.05</v>
      </c>
      <c r="BY26" s="89">
        <f t="shared" si="41"/>
        <v>53.401720006109592</v>
      </c>
      <c r="BZ26" s="21">
        <f t="shared" si="8"/>
        <v>65.401720006109599</v>
      </c>
      <c r="CA26" s="26">
        <f t="shared" si="9"/>
        <v>1</v>
      </c>
      <c r="CB26" s="103">
        <f t="shared" si="10"/>
        <v>0</v>
      </c>
      <c r="CC26" s="22">
        <f t="shared" si="11"/>
        <v>0</v>
      </c>
      <c r="CD26" s="5">
        <f t="shared" si="12"/>
        <v>0.6</v>
      </c>
      <c r="CE26" s="67">
        <f>IF($BA$31="d",'Profils de colonie'!K53,IF($BA$31="n",'Profils de colonie'!K81,IF($BA$31="p",'Profils de colonie'!K109,IF($BA$31="a",'Profils de colonie'!K137,IF($BA$31="b",'Profils de colonie'!K165,IF($BA$31="c",'Profils de colonie'!K193,IF($BA$31="r",'Profils de colonie'!K221,IF($BA$31="s",'Profils de colonie'!K221,IF($BA$31="f",'Profils de colonie'!K277,"erreur")))))))))</f>
        <v>0</v>
      </c>
      <c r="CF26" s="87">
        <f t="shared" si="42"/>
        <v>0</v>
      </c>
      <c r="CG26" s="63">
        <f t="shared" si="43"/>
        <v>0</v>
      </c>
      <c r="CH26" s="84">
        <f t="shared" si="44"/>
        <v>0</v>
      </c>
      <c r="CI26" s="60">
        <f t="shared" si="13"/>
        <v>0</v>
      </c>
      <c r="CJ26" s="61">
        <f t="shared" si="45"/>
        <v>0</v>
      </c>
      <c r="CK26" s="266">
        <f t="shared" si="46"/>
        <v>0</v>
      </c>
      <c r="CL26" s="267">
        <f t="shared" si="47"/>
        <v>0</v>
      </c>
      <c r="CM26" s="61">
        <f t="shared" si="14"/>
        <v>68.401720006109599</v>
      </c>
      <c r="CN26" s="265">
        <v>1</v>
      </c>
      <c r="CO26" s="71">
        <f t="shared" si="15"/>
        <v>4.2749999999999995</v>
      </c>
      <c r="CP26" s="65">
        <f t="shared" si="48"/>
        <v>9.8493837450082944E-2</v>
      </c>
      <c r="CQ26" s="85">
        <f t="shared" si="49"/>
        <v>0</v>
      </c>
      <c r="CR26" s="59">
        <f t="shared" si="50"/>
        <v>0.6</v>
      </c>
      <c r="CS26" s="59">
        <f t="shared" si="16"/>
        <v>0</v>
      </c>
      <c r="CT26" s="62">
        <f t="shared" si="17"/>
        <v>0</v>
      </c>
      <c r="CU26" s="263">
        <f t="shared" si="51"/>
        <v>0</v>
      </c>
      <c r="CV26" s="265">
        <f t="shared" si="52"/>
        <v>0</v>
      </c>
      <c r="CW26" s="64">
        <f t="shared" si="18"/>
        <v>1</v>
      </c>
      <c r="CX26" s="62">
        <f t="shared" si="19"/>
        <v>65.401720006109599</v>
      </c>
      <c r="CY26" s="264">
        <v>1</v>
      </c>
      <c r="CZ26" s="70">
        <f t="shared" si="53"/>
        <v>2.2586249999999999</v>
      </c>
      <c r="DA26" s="66">
        <f t="shared" si="20"/>
        <v>0</v>
      </c>
      <c r="DB26" s="91">
        <f t="shared" si="21"/>
        <v>0</v>
      </c>
      <c r="DC26" s="23">
        <f t="shared" si="22"/>
        <v>-5.0125418235442863E-3</v>
      </c>
      <c r="DD26" s="28">
        <f t="shared" si="23"/>
        <v>-5.0125418235442863E-3</v>
      </c>
      <c r="DE26" s="315">
        <f t="shared" si="54"/>
        <v>0</v>
      </c>
      <c r="DF26" s="270">
        <f t="shared" si="69"/>
        <v>397.58331455989128</v>
      </c>
      <c r="DG26" s="178">
        <f t="shared" si="24"/>
        <v>278.30832019192388</v>
      </c>
      <c r="DH26" s="178">
        <f t="shared" si="70"/>
        <v>162.86869796498686</v>
      </c>
      <c r="DJ26" s="13">
        <f t="shared" si="25"/>
        <v>397.58331455989128</v>
      </c>
      <c r="DK26" s="199">
        <f t="shared" si="55"/>
        <v>29.182284059532549</v>
      </c>
      <c r="DL26" s="107">
        <f t="shared" si="26"/>
        <v>368.40103050035873</v>
      </c>
      <c r="DM26" s="182">
        <f>'Immigration de varroas'!E34</f>
        <v>0</v>
      </c>
      <c r="DN26" s="109">
        <f t="shared" si="56"/>
        <v>-1.0203603033822209E-2</v>
      </c>
      <c r="DO26" s="82">
        <f t="shared" si="64"/>
        <v>-1.0203603033822209E-2</v>
      </c>
      <c r="DP26" s="198">
        <f t="shared" si="27"/>
        <v>368.39082689732493</v>
      </c>
      <c r="DQ26" s="278">
        <f>FG$32</f>
        <v>0</v>
      </c>
      <c r="DR26" s="107">
        <f t="shared" si="57"/>
        <v>0</v>
      </c>
      <c r="DS26" s="79">
        <f t="shared" si="28"/>
        <v>368.39082689732493</v>
      </c>
      <c r="DT26" s="23">
        <f t="shared" si="29"/>
        <v>-5.0143630213130364E-3</v>
      </c>
      <c r="DU26" s="158">
        <f t="shared" si="30"/>
        <v>40878</v>
      </c>
      <c r="DV26" s="74">
        <f t="shared" si="31"/>
        <v>397.58331455989128</v>
      </c>
      <c r="DW26" s="23">
        <f t="shared" si="32"/>
        <v>2.4848957159993204E-2</v>
      </c>
      <c r="DX26" s="114">
        <f t="shared" si="33"/>
        <v>7.8274215053978589</v>
      </c>
      <c r="DY26" t="str">
        <f t="shared" si="65"/>
        <v/>
      </c>
      <c r="DZ26" t="str">
        <f t="shared" si="66"/>
        <v/>
      </c>
      <c r="EA26">
        <f>IF(DX$21&gt;60,100,0)</f>
        <v>0</v>
      </c>
      <c r="EB26">
        <f t="shared" si="68"/>
        <v>0</v>
      </c>
      <c r="EC26" s="13">
        <f t="shared" si="58"/>
        <v>0.68437499999999996</v>
      </c>
      <c r="ED26" s="14">
        <f t="shared" si="59"/>
        <v>0</v>
      </c>
      <c r="EE26" s="13">
        <f t="shared" si="60"/>
        <v>0.68437499999999996</v>
      </c>
      <c r="EF26" s="13">
        <f t="shared" si="67"/>
        <v>4.4999999999999998E-2</v>
      </c>
      <c r="EG26" s="17">
        <f t="shared" si="61"/>
        <v>0.6</v>
      </c>
      <c r="EH26" s="197">
        <f t="shared" si="62"/>
        <v>1.0203603033822209E-2</v>
      </c>
      <c r="EJ26" s="13">
        <f t="shared" si="63"/>
        <v>0</v>
      </c>
      <c r="EK26" s="131">
        <f>FG$57</f>
        <v>515.9588794691856</v>
      </c>
      <c r="EL26" s="31">
        <f>FF$59</f>
        <v>0.5594398204229748</v>
      </c>
      <c r="EP26" s="2">
        <v>40878</v>
      </c>
      <c r="EQ26" s="193">
        <v>43252</v>
      </c>
      <c r="EU26" s="14"/>
      <c r="EV26" s="14"/>
    </row>
    <row r="27" spans="2:164" ht="16.19" customHeight="1">
      <c r="B27" s="289"/>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325"/>
      <c r="AE27" s="288">
        <f t="shared" si="34"/>
        <v>40892</v>
      </c>
      <c r="AF27" s="299"/>
      <c r="AX27" s="180"/>
      <c r="AZ27" s="374"/>
      <c r="BA27" s="288">
        <f t="shared" si="35"/>
        <v>40892</v>
      </c>
      <c r="BB27" s="48">
        <f t="shared" si="0"/>
        <v>368.39082689732493</v>
      </c>
      <c r="BC27" s="222">
        <f t="shared" si="36"/>
        <v>-5.0143630213130451E-3</v>
      </c>
      <c r="BD27" s="173">
        <f t="shared" si="1"/>
        <v>0</v>
      </c>
      <c r="BE27" s="99">
        <f t="shared" si="37"/>
        <v>7.252694404541085</v>
      </c>
      <c r="BF27" s="4" t="str">
        <f t="shared" si="2"/>
        <v>s.o.</v>
      </c>
      <c r="BG27" s="3">
        <f t="shared" si="3"/>
        <v>1</v>
      </c>
      <c r="BM27" s="31"/>
      <c r="BP27" s="158">
        <f t="shared" si="38"/>
        <v>40892</v>
      </c>
      <c r="BQ27" s="373">
        <f>IF($BA$31="d",'Profils de colonie'!I54,IF($BA$31="n",'Profils de colonie'!I82,IF($BA$31="p",'Profils de colonie'!I110,IF($BA$31="a",'Profils de colonie'!I138,IF($BA$31="b",'Profils de colonie'!I166,IF($BA$31="c",'Profils de colonie'!I194,IF($BA$31="r",'Profils de colonie'!I222,IF($BA$31="s",'Profils de colonie'!I250,IF($BA$31="f",'Profils de colonie'!I278,"erreur")))))))))</f>
        <v>8</v>
      </c>
      <c r="BR27">
        <f t="shared" si="4"/>
        <v>16000</v>
      </c>
      <c r="BS27" s="68">
        <f>IF($BA$31="d",'Profils de colonie'!G54,IF($BA$31="n",'Profils de colonie'!G82,IF($BA$31="p",'Profils de colonie'!G110,IF($BA$31="a",'Profils de colonie'!G138,IF($BA$31="b",'Profils de colonie'!G166,IF($BA$31="c",'Profils de colonie'!G194,IF($BA$31="r",'Profils de colonie'!G222,IF($BA$31="s",'Profils de colonie'!G250,IF($BA$31="f",'Profils de colonie'!G278,"erreur")))))))))</f>
        <v>0</v>
      </c>
      <c r="BT27" s="13">
        <f t="shared" si="5"/>
        <v>1</v>
      </c>
      <c r="BU27" s="17">
        <f t="shared" si="6"/>
        <v>6.2500000000000001E-5</v>
      </c>
      <c r="BV27">
        <f t="shared" si="39"/>
        <v>0.6</v>
      </c>
      <c r="BW27" s="14">
        <f t="shared" si="40"/>
        <v>0</v>
      </c>
      <c r="BX27" s="14">
        <f t="shared" si="7"/>
        <v>0.05</v>
      </c>
      <c r="BY27" s="89">
        <f t="shared" si="41"/>
        <v>53.401720006109592</v>
      </c>
      <c r="BZ27" s="21">
        <f t="shared" si="8"/>
        <v>65.401720006109599</v>
      </c>
      <c r="CA27" s="26">
        <f t="shared" si="9"/>
        <v>1</v>
      </c>
      <c r="CB27" s="103">
        <f t="shared" si="10"/>
        <v>0</v>
      </c>
      <c r="CC27" s="22">
        <f t="shared" si="11"/>
        <v>0</v>
      </c>
      <c r="CD27" s="5">
        <f t="shared" si="12"/>
        <v>0.6</v>
      </c>
      <c r="CE27" s="67">
        <f>IF($BA$31="d",'Profils de colonie'!K54,IF($BA$31="n",'Profils de colonie'!K82,IF($BA$31="p",'Profils de colonie'!K110,IF($BA$31="a",'Profils de colonie'!K138,IF($BA$31="b",'Profils de colonie'!K166,IF($BA$31="c",'Profils de colonie'!K194,IF($BA$31="r",'Profils de colonie'!K222,IF($BA$31="s",'Profils de colonie'!K222,IF($BA$31="f",'Profils de colonie'!K278,"erreur")))))))))</f>
        <v>0</v>
      </c>
      <c r="CF27" s="87">
        <f t="shared" si="42"/>
        <v>0</v>
      </c>
      <c r="CG27" s="63">
        <f t="shared" si="43"/>
        <v>0</v>
      </c>
      <c r="CH27" s="84">
        <f t="shared" si="44"/>
        <v>0</v>
      </c>
      <c r="CI27" s="60">
        <f t="shared" si="13"/>
        <v>0</v>
      </c>
      <c r="CJ27" s="61">
        <f t="shared" si="45"/>
        <v>0</v>
      </c>
      <c r="CK27" s="266">
        <f t="shared" si="46"/>
        <v>0</v>
      </c>
      <c r="CL27" s="267">
        <f t="shared" si="47"/>
        <v>0</v>
      </c>
      <c r="CM27" s="61">
        <f t="shared" si="14"/>
        <v>68.401720006109599</v>
      </c>
      <c r="CN27" s="265">
        <v>1</v>
      </c>
      <c r="CO27" s="71">
        <f t="shared" si="15"/>
        <v>4.2749999999999995</v>
      </c>
      <c r="CP27" s="65">
        <f t="shared" si="48"/>
        <v>9.8493837450082944E-2</v>
      </c>
      <c r="CQ27" s="85">
        <f t="shared" si="49"/>
        <v>0</v>
      </c>
      <c r="CR27" s="59">
        <f t="shared" si="50"/>
        <v>0.6</v>
      </c>
      <c r="CS27" s="59">
        <f t="shared" si="16"/>
        <v>0</v>
      </c>
      <c r="CT27" s="62">
        <f t="shared" si="17"/>
        <v>0</v>
      </c>
      <c r="CU27" s="263">
        <f t="shared" si="51"/>
        <v>0</v>
      </c>
      <c r="CV27" s="265">
        <f t="shared" si="52"/>
        <v>0</v>
      </c>
      <c r="CW27" s="64">
        <f t="shared" si="18"/>
        <v>1</v>
      </c>
      <c r="CX27" s="62">
        <f t="shared" si="19"/>
        <v>65.401720006109599</v>
      </c>
      <c r="CY27" s="264">
        <v>1</v>
      </c>
      <c r="CZ27" s="70">
        <f t="shared" si="53"/>
        <v>2.2586249999999999</v>
      </c>
      <c r="DA27" s="66">
        <f t="shared" si="20"/>
        <v>0</v>
      </c>
      <c r="DB27" s="91">
        <f t="shared" si="21"/>
        <v>0</v>
      </c>
      <c r="DC27" s="23">
        <f t="shared" si="22"/>
        <v>-5.0125418235442863E-3</v>
      </c>
      <c r="DD27" s="28">
        <f t="shared" si="23"/>
        <v>-5.0125418235442863E-3</v>
      </c>
      <c r="DE27" s="315">
        <f t="shared" si="54"/>
        <v>0</v>
      </c>
      <c r="DF27" s="270">
        <f t="shared" si="69"/>
        <v>368.39082689732493</v>
      </c>
      <c r="DG27" s="178">
        <f t="shared" si="24"/>
        <v>257.87357882812745</v>
      </c>
      <c r="DH27" s="178">
        <f t="shared" si="70"/>
        <v>113.60883019668999</v>
      </c>
      <c r="DJ27" s="13">
        <f t="shared" si="25"/>
        <v>368.39082689732493</v>
      </c>
      <c r="DK27" s="199">
        <f t="shared" si="55"/>
        <v>27.039579785545527</v>
      </c>
      <c r="DL27" s="107">
        <f t="shared" si="26"/>
        <v>341.3512471117794</v>
      </c>
      <c r="DM27" s="182">
        <f>'Immigration de varroas'!E35</f>
        <v>0</v>
      </c>
      <c r="DN27" s="109">
        <f t="shared" si="56"/>
        <v>-9.4544052059196276E-3</v>
      </c>
      <c r="DO27" s="82">
        <f t="shared" si="64"/>
        <v>-9.4544052059196276E-3</v>
      </c>
      <c r="DP27" s="198">
        <f t="shared" si="27"/>
        <v>341.34179270657347</v>
      </c>
      <c r="DQ27" s="278">
        <f>FH$32</f>
        <v>0</v>
      </c>
      <c r="DR27" s="107">
        <f t="shared" si="57"/>
        <v>0</v>
      </c>
      <c r="DS27" s="79">
        <f t="shared" si="28"/>
        <v>341.34179270657347</v>
      </c>
      <c r="DT27" s="23">
        <f t="shared" si="29"/>
        <v>-5.0143630213130451E-3</v>
      </c>
      <c r="DU27" s="158">
        <f t="shared" si="30"/>
        <v>40892</v>
      </c>
      <c r="DV27" s="74">
        <f t="shared" si="31"/>
        <v>368.39082689732493</v>
      </c>
      <c r="DW27" s="23">
        <f t="shared" si="32"/>
        <v>2.3024426681082809E-2</v>
      </c>
      <c r="DX27" s="114">
        <f t="shared" si="33"/>
        <v>7.252694404541085</v>
      </c>
      <c r="DY27" t="str">
        <f t="shared" si="65"/>
        <v/>
      </c>
      <c r="DZ27" t="str">
        <f t="shared" si="66"/>
        <v/>
      </c>
      <c r="EA27">
        <f>IF(DX$21&gt;60,100,0)</f>
        <v>0</v>
      </c>
      <c r="EB27">
        <f t="shared" si="68"/>
        <v>0</v>
      </c>
      <c r="EC27" s="13">
        <f t="shared" si="58"/>
        <v>0.68437499999999996</v>
      </c>
      <c r="ED27" s="14">
        <f t="shared" si="59"/>
        <v>0</v>
      </c>
      <c r="EE27" s="13">
        <f t="shared" si="60"/>
        <v>0.68437499999999996</v>
      </c>
      <c r="EF27" s="13">
        <f t="shared" si="67"/>
        <v>4.4999999999999998E-2</v>
      </c>
      <c r="EG27" s="17">
        <f t="shared" si="61"/>
        <v>0.6</v>
      </c>
      <c r="EH27" s="197">
        <f t="shared" si="62"/>
        <v>9.4544052059196276E-3</v>
      </c>
      <c r="EJ27" s="13">
        <f t="shared" si="63"/>
        <v>0</v>
      </c>
      <c r="EK27" s="131">
        <f>FH$57</f>
        <v>563.85291850071394</v>
      </c>
      <c r="EL27" s="31">
        <f>FG$59</f>
        <v>0.73969566841086287</v>
      </c>
      <c r="EP27" s="2">
        <v>40892</v>
      </c>
      <c r="EQ27" s="193">
        <v>43266</v>
      </c>
      <c r="ET27">
        <v>11.025</v>
      </c>
      <c r="EU27" s="14"/>
      <c r="EV27" s="14"/>
    </row>
    <row r="28" spans="2:164" ht="16" customHeight="1">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289"/>
      <c r="AB28" s="289"/>
      <c r="AC28" s="289"/>
      <c r="AD28" s="326"/>
      <c r="AE28" s="288">
        <f t="shared" si="34"/>
        <v>40908</v>
      </c>
      <c r="AF28" s="299"/>
      <c r="AG28" s="181"/>
      <c r="AI28" s="126"/>
      <c r="AJ28" s="126"/>
      <c r="AK28" s="126"/>
      <c r="AL28" s="126"/>
      <c r="AM28" s="126"/>
      <c r="AN28" s="126"/>
      <c r="AO28" s="126"/>
      <c r="AP28" s="126"/>
      <c r="AQ28" s="126"/>
      <c r="AR28" s="126"/>
      <c r="AS28" s="126"/>
      <c r="AT28" s="126"/>
      <c r="AU28" s="126"/>
      <c r="AV28" s="126"/>
      <c r="AW28" s="126"/>
      <c r="AX28" s="126"/>
      <c r="AZ28" s="374"/>
      <c r="BA28" s="288">
        <f t="shared" si="35"/>
        <v>40908</v>
      </c>
      <c r="BB28" s="48">
        <f>IF(EB27&gt;0,"",DF28)</f>
        <v>341.34179270657347</v>
      </c>
      <c r="BC28" s="222" t="e">
        <f>IF(EB28&gt;0,"",DT28)</f>
        <v>#REF!</v>
      </c>
      <c r="BD28" s="173" t="e">
        <f t="shared" si="1"/>
        <v>#REF!</v>
      </c>
      <c r="BE28" s="99">
        <f>IF(EB28&gt;0,"",DX28)</f>
        <v>6.7201665439106657</v>
      </c>
      <c r="BF28" s="4" t="str">
        <f t="shared" si="2"/>
        <v>s.o.</v>
      </c>
      <c r="BG28" s="3">
        <f t="shared" si="3"/>
        <v>1</v>
      </c>
      <c r="BL28" s="76"/>
      <c r="BM28" s="76"/>
      <c r="BP28" s="158">
        <f t="shared" si="38"/>
        <v>40908</v>
      </c>
      <c r="BQ28" s="373">
        <f>IF($BA$31="d",'Profils de colonie'!I55,IF($BA$31="n",'Profils de colonie'!I83,IF($BA$31="p",'Profils de colonie'!I111,IF($BA$31="a",'Profils de colonie'!I139,IF($BA$31="b",'Profils de colonie'!I167,IF($BA$31="c",'Profils de colonie'!I195,IF($BA$31="r",'Profils de colonie'!I223,IF($BA$31="s",'Profils de colonie'!I251,IF($BA$31="f",'Profils de colonie'!I279,"erreur")))))))))</f>
        <v>8</v>
      </c>
      <c r="BR28">
        <f>BQ28*$BQ$44</f>
        <v>16000</v>
      </c>
      <c r="BS28" s="68">
        <f>IF($BA$31="d",'Profils de colonie'!G55,IF($BA$31="n",'Profils de colonie'!G83,IF($BA$31="p",'Profils de colonie'!G111,IF($BA$31="a",'Profils de colonie'!G139,IF($BA$31="b",'Profils de colonie'!G167,IF($BA$31="c",'Profils de colonie'!G195,IF($BA$31="r",'Profils de colonie'!G223,IF($BA$31="s",'Profils de colonie'!G251,IF($BA$31="f",'Profils de colonie'!G279,"erreur")))))))))</f>
        <v>0</v>
      </c>
      <c r="BT28" s="13">
        <f>IF(BS28=0,1,$BQ$43*BS28)</f>
        <v>1</v>
      </c>
      <c r="BU28" s="17">
        <f>IF(BR28=0,0,BT28/BR28)</f>
        <v>6.2500000000000001E-5</v>
      </c>
      <c r="BV28">
        <f>BT28*12/20</f>
        <v>0.6</v>
      </c>
      <c r="BW28" s="14">
        <f>CU28*BV28</f>
        <v>0</v>
      </c>
      <c r="BX28" s="14">
        <f>BT28/20</f>
        <v>0.05</v>
      </c>
      <c r="BY28" s="89">
        <f>IF(BU28=0,0.001,(-$BQ$42*LN(BU28))+$BQ$41)</f>
        <v>53.401720006109592</v>
      </c>
      <c r="BZ28" s="21">
        <f>BY28+12</f>
        <v>65.401720006109599</v>
      </c>
      <c r="CA28" s="26">
        <f>IF(BS28=0,1,BY28/BZ28)</f>
        <v>1</v>
      </c>
      <c r="CB28" s="103">
        <f>1-CA28</f>
        <v>0</v>
      </c>
      <c r="CC28" s="22">
        <f t="shared" si="11"/>
        <v>0</v>
      </c>
      <c r="CD28" s="5">
        <f>0.6*BT28</f>
        <v>0.6</v>
      </c>
      <c r="CE28" s="67">
        <f>IF($BA$31="d",'Profils de colonie'!K55,IF($BA$31="n",'Profils de colonie'!K83,IF($BA$31="p",'Profils de colonie'!K111,IF($BA$31="a",'Profils de colonie'!J139,IF($BA$31="b",'Profils de colonie'!K167,IF($BA$31="c",'Profils de colonie'!K195,IF($BA$31="r",'Profils de colonie'!K223,IF($BA$31="s",'Profils de colonie'!K223,IF($BA$31="f",'Profils de colonie'!K279,"erreur")))))))))</f>
        <v>0</v>
      </c>
      <c r="CF28" s="87">
        <f t="shared" si="42"/>
        <v>0</v>
      </c>
      <c r="CG28" s="63">
        <f t="shared" si="43"/>
        <v>0</v>
      </c>
      <c r="CH28" s="84">
        <f>CG28*CB28</f>
        <v>0</v>
      </c>
      <c r="CI28" s="60">
        <f>CG28*CC28</f>
        <v>0</v>
      </c>
      <c r="CJ28" s="61">
        <f>IF(CF28=0,0,CI28/(CD28*CF28))</f>
        <v>0</v>
      </c>
      <c r="CK28" s="266">
        <f t="shared" si="46"/>
        <v>0</v>
      </c>
      <c r="CL28" s="267">
        <f>IF(CK28=0,0,CJ28/CK28)</f>
        <v>0</v>
      </c>
      <c r="CM28" s="61">
        <f>BY28+15</f>
        <v>68.401720006109599</v>
      </c>
      <c r="CN28" s="265">
        <v>1</v>
      </c>
      <c r="CO28" s="71">
        <f>(1+($BQ$31*CN28))*$BQ$46</f>
        <v>4.2749999999999995</v>
      </c>
      <c r="CP28" s="65">
        <f>LN(CO28)/14.75</f>
        <v>9.8493837450082944E-2</v>
      </c>
      <c r="CQ28" s="85">
        <f>1-CA28-CH28</f>
        <v>0</v>
      </c>
      <c r="CR28" s="59">
        <f>(1-CF28)*CD28</f>
        <v>0.6</v>
      </c>
      <c r="CS28" s="59">
        <f>CC28-CI28</f>
        <v>0</v>
      </c>
      <c r="CT28" s="62">
        <f>CS28/CR28</f>
        <v>0</v>
      </c>
      <c r="CU28" s="263">
        <f t="shared" si="51"/>
        <v>0</v>
      </c>
      <c r="CV28" s="265">
        <f t="shared" si="52"/>
        <v>0</v>
      </c>
      <c r="CW28" s="64">
        <f t="shared" si="18"/>
        <v>1</v>
      </c>
      <c r="CX28" s="62">
        <f t="shared" si="19"/>
        <v>65.401720006109599</v>
      </c>
      <c r="CY28" s="264">
        <v>1</v>
      </c>
      <c r="CZ28" s="70">
        <f t="shared" si="53"/>
        <v>2.2586249999999999</v>
      </c>
      <c r="DA28" s="66">
        <f t="shared" si="20"/>
        <v>0</v>
      </c>
      <c r="DB28" s="91">
        <f t="shared" si="21"/>
        <v>0</v>
      </c>
      <c r="DC28" s="23">
        <f t="shared" si="22"/>
        <v>-5.0125418235442863E-3</v>
      </c>
      <c r="DD28" s="28">
        <f>DB28+DC28</f>
        <v>-5.0125418235442863E-3</v>
      </c>
      <c r="DE28" s="315">
        <f t="shared" si="54"/>
        <v>0</v>
      </c>
      <c r="DF28" s="270">
        <f t="shared" si="69"/>
        <v>341.34179270657347</v>
      </c>
      <c r="DG28" s="178">
        <f>DF28*$BQ$30</f>
        <v>238.93925489460142</v>
      </c>
      <c r="DH28" s="178">
        <f t="shared" si="70"/>
        <v>62.196923035745684</v>
      </c>
      <c r="DJ28" s="13">
        <f t="shared" si="25"/>
        <v>341.34179270657347</v>
      </c>
      <c r="DK28" s="199">
        <f>DJ28-DL28</f>
        <v>25.054203210665094</v>
      </c>
      <c r="DL28" s="107">
        <f t="shared" si="26"/>
        <v>316.28758949590838</v>
      </c>
      <c r="DM28" s="182" t="e">
        <f>'Immigration de varroas'!#REF!</f>
        <v>#REF!</v>
      </c>
      <c r="DN28" s="109">
        <f>IF(EH28&gt;DV28*EG28,-DV28*EG28,-EH28)</f>
        <v>-8.7602171018835457E-3</v>
      </c>
      <c r="DO28" s="82" t="e">
        <f>DM28+DN28</f>
        <v>#REF!</v>
      </c>
      <c r="DP28" s="198" t="e">
        <f t="shared" si="27"/>
        <v>#REF!</v>
      </c>
      <c r="DQ28" s="278"/>
      <c r="DR28" s="107"/>
      <c r="DS28" s="79" t="e">
        <f>DP28-DR28</f>
        <v>#REF!</v>
      </c>
      <c r="DT28" s="23" t="e">
        <f t="shared" si="29"/>
        <v>#REF!</v>
      </c>
      <c r="DU28" s="158">
        <f t="shared" si="30"/>
        <v>40908</v>
      </c>
      <c r="DV28" s="74">
        <f t="shared" si="31"/>
        <v>341.34179270657347</v>
      </c>
      <c r="DW28" s="23">
        <f t="shared" si="32"/>
        <v>2.1333862044160844E-2</v>
      </c>
      <c r="DX28" s="114">
        <f>DW28*315</f>
        <v>6.7201665439106657</v>
      </c>
      <c r="DY28" t="str">
        <f t="shared" si="65"/>
        <v/>
      </c>
      <c r="DZ28" t="str">
        <f t="shared" si="66"/>
        <v/>
      </c>
      <c r="EA28">
        <f>IF(DX$21&gt;60,100,0)</f>
        <v>0</v>
      </c>
      <c r="EB28">
        <f t="shared" si="68"/>
        <v>0</v>
      </c>
      <c r="EC28" s="13">
        <f t="shared" si="58"/>
        <v>0.68437499999999996</v>
      </c>
      <c r="ED28" s="14">
        <f t="shared" si="59"/>
        <v>0</v>
      </c>
      <c r="EE28" s="13">
        <f>EC28-ED28</f>
        <v>0.68437499999999996</v>
      </c>
      <c r="EF28" s="13">
        <f t="shared" si="67"/>
        <v>4.4999999999999998E-2</v>
      </c>
      <c r="EG28" s="17">
        <f>IF(DW28&gt;0.15,1,$BQ$35)</f>
        <v>0.6</v>
      </c>
      <c r="EH28" s="197">
        <f>EE28*EG28*DW28</f>
        <v>8.7602171018835457E-3</v>
      </c>
      <c r="EJ28" s="13">
        <f t="shared" si="63"/>
        <v>0</v>
      </c>
      <c r="EK28" s="131">
        <f>FH$57</f>
        <v>563.85291850071394</v>
      </c>
      <c r="EL28" s="31">
        <f>FG$59</f>
        <v>0.73969566841086287</v>
      </c>
      <c r="EN28" s="14"/>
      <c r="EO28" s="14"/>
      <c r="EP28" s="2">
        <v>40908</v>
      </c>
      <c r="EQ28" s="193">
        <v>43281</v>
      </c>
      <c r="EU28" s="14"/>
      <c r="EV28" s="14"/>
    </row>
    <row r="29" spans="2:164" ht="16.19" customHeight="1">
      <c r="AF29" s="191"/>
      <c r="AI29" s="126"/>
      <c r="AJ29" s="126"/>
      <c r="AK29" s="126"/>
      <c r="AL29" s="126"/>
      <c r="AM29" s="126"/>
      <c r="AN29" s="126"/>
      <c r="AO29" s="126"/>
      <c r="AP29" s="126"/>
      <c r="AQ29" s="126"/>
      <c r="AR29" s="126"/>
      <c r="AS29" s="126"/>
      <c r="AT29" s="126"/>
      <c r="AU29" s="126"/>
      <c r="AV29" s="126"/>
      <c r="AW29" s="126"/>
      <c r="AX29" s="126"/>
      <c r="AY29" s="318"/>
      <c r="AZ29" s="19"/>
      <c r="BA29" s="234" t="s">
        <v>127</v>
      </c>
      <c r="BB29" s="236">
        <f>MAX(BB4:BB28)</f>
        <v>510.78874566883428</v>
      </c>
      <c r="BC29" s="235" t="s">
        <v>128</v>
      </c>
      <c r="BD29" s="233" t="e">
        <f>SUM(BD4:BD28)</f>
        <v>#REF!</v>
      </c>
      <c r="BE29" s="224"/>
      <c r="BF29" s="224"/>
      <c r="BG29" s="224"/>
      <c r="BH29" s="224"/>
      <c r="BI29" s="224"/>
      <c r="BJ29" s="224"/>
      <c r="BK29" s="179"/>
      <c r="BL29" s="179"/>
      <c r="BM29" s="179"/>
      <c r="BN29" s="179"/>
      <c r="BO29" s="384" t="s">
        <v>129</v>
      </c>
      <c r="BP29" s="239">
        <f>AG40</f>
        <v>1.45</v>
      </c>
      <c r="BQ29" s="136">
        <f>IF($AG$38="custom",AH40*(1-$BQ$39),IF($AG$38="",BP29*(1-AG49),"erreur"))</f>
        <v>1.3774999999999999</v>
      </c>
      <c r="BR29" s="163" t="s">
        <v>130</v>
      </c>
      <c r="BY29" s="21"/>
      <c r="BZ29" s="5">
        <f>BY29+12</f>
        <v>12</v>
      </c>
      <c r="CG29"/>
      <c r="CM29" s="61">
        <f>BY29+15</f>
        <v>15</v>
      </c>
      <c r="CT29" s="5" t="s">
        <v>131</v>
      </c>
      <c r="CU29" s="31">
        <f>MAX(CU4:CU28)</f>
        <v>0.45689731656649946</v>
      </c>
      <c r="CV29" s="17"/>
      <c r="CZ29" s="5"/>
      <c r="DM29" s="183">
        <f>SUM(DM4:DM27)</f>
        <v>0</v>
      </c>
      <c r="DN29" s="29">
        <f>SUM(DN5:DN28)</f>
        <v>-489.96297345159644</v>
      </c>
      <c r="DO29" s="82">
        <f>DM29+DN29</f>
        <v>-489.96297345159644</v>
      </c>
      <c r="EL29">
        <v>4</v>
      </c>
      <c r="EM29">
        <v>5</v>
      </c>
      <c r="EN29">
        <v>6</v>
      </c>
      <c r="EO29">
        <v>7</v>
      </c>
      <c r="EP29">
        <v>8</v>
      </c>
      <c r="EQ29">
        <v>9</v>
      </c>
      <c r="ER29">
        <v>10</v>
      </c>
      <c r="ES29">
        <v>11</v>
      </c>
      <c r="ET29">
        <v>12</v>
      </c>
      <c r="EU29">
        <v>13</v>
      </c>
      <c r="EV29">
        <v>14</v>
      </c>
      <c r="EW29">
        <v>15</v>
      </c>
      <c r="EX29">
        <v>16</v>
      </c>
      <c r="EY29">
        <v>17</v>
      </c>
      <c r="EZ29">
        <v>18</v>
      </c>
      <c r="FA29">
        <v>19</v>
      </c>
      <c r="FB29">
        <v>20</v>
      </c>
      <c r="FC29">
        <v>21</v>
      </c>
      <c r="FD29">
        <v>22</v>
      </c>
      <c r="FE29">
        <v>23</v>
      </c>
      <c r="FF29">
        <v>24</v>
      </c>
      <c r="FG29">
        <v>25</v>
      </c>
      <c r="FH29">
        <v>26</v>
      </c>
    </row>
    <row r="30" spans="2:164" ht="16.19" customHeight="1">
      <c r="B30" s="462" t="s">
        <v>132</v>
      </c>
      <c r="C30" s="462"/>
      <c r="D30" s="462"/>
      <c r="E30" s="462"/>
      <c r="F30" s="462"/>
      <c r="G30" s="462"/>
      <c r="H30" s="462"/>
      <c r="I30" s="462"/>
      <c r="J30" s="462"/>
      <c r="K30" s="462"/>
      <c r="L30" s="462"/>
      <c r="M30" s="462"/>
      <c r="AF30" s="191"/>
      <c r="AH30" s="126"/>
      <c r="AI30" s="126"/>
      <c r="AJ30" s="126"/>
      <c r="AK30" s="126"/>
      <c r="AL30" s="126"/>
      <c r="AM30" s="126"/>
      <c r="AN30" s="126"/>
      <c r="AO30" s="126"/>
      <c r="AP30" s="126"/>
      <c r="AQ30" s="126"/>
      <c r="AR30" s="126"/>
      <c r="AS30" s="126"/>
      <c r="AT30" s="126"/>
      <c r="AU30" s="126"/>
      <c r="AV30" s="126"/>
      <c r="AW30" s="126"/>
      <c r="AX30" s="126"/>
      <c r="AY30" s="318"/>
      <c r="AZ30" s="368"/>
      <c r="BA30" s="126"/>
      <c r="BC30" s="374"/>
      <c r="BM30" s="10"/>
      <c r="BO30" s="384"/>
      <c r="BP30" s="239">
        <f t="shared" ref="BP30:BP35" si="71">AG41</f>
        <v>0.7</v>
      </c>
      <c r="BQ30" s="50">
        <f t="shared" ref="BQ30:BQ35" si="72">IF($AG$38="custom",AH41,IF($AG$38="",BP30,"erreur"))</f>
        <v>0.7</v>
      </c>
      <c r="BR30" s="163" t="s">
        <v>133</v>
      </c>
      <c r="BZ30" s="77">
        <f>(1+(BQ29*BQ30))</f>
        <v>1.9642499999999998</v>
      </c>
      <c r="CA30" s="352" t="s">
        <v>134</v>
      </c>
      <c r="CB30"/>
      <c r="CC30"/>
      <c r="CZ30" s="352"/>
      <c r="EJ30" t="s">
        <v>135</v>
      </c>
      <c r="EK30" s="13">
        <f>BT4</f>
        <v>193.49999999999997</v>
      </c>
      <c r="EL30" s="13">
        <f>BT5</f>
        <v>1</v>
      </c>
      <c r="EM30" s="13">
        <f>BT6</f>
        <v>1</v>
      </c>
      <c r="EN30" s="13">
        <f>BT7</f>
        <v>193.49999999999997</v>
      </c>
      <c r="EO30" s="13">
        <f>BT8</f>
        <v>1</v>
      </c>
      <c r="EP30" s="13">
        <f>BT9</f>
        <v>2250</v>
      </c>
      <c r="EQ30" s="13">
        <f>BT10</f>
        <v>4500</v>
      </c>
      <c r="ER30" s="13">
        <f>BT11</f>
        <v>22500</v>
      </c>
      <c r="ES30" s="13">
        <f>BT12</f>
        <v>31500</v>
      </c>
      <c r="ET30" s="13">
        <f>BT13</f>
        <v>31500</v>
      </c>
      <c r="EU30" s="13">
        <f>BT14</f>
        <v>36000</v>
      </c>
      <c r="EV30" s="13">
        <f>BT15</f>
        <v>36000</v>
      </c>
      <c r="EW30" s="13">
        <f>BT16</f>
        <v>27000</v>
      </c>
      <c r="EX30" s="13">
        <f>BT17</f>
        <v>22500</v>
      </c>
      <c r="EY30" s="13">
        <f>BT18</f>
        <v>20250</v>
      </c>
      <c r="EZ30" s="13">
        <f>BT19</f>
        <v>18000</v>
      </c>
      <c r="FA30" s="13">
        <f>BT20</f>
        <v>15750</v>
      </c>
      <c r="FB30" s="13">
        <f>BT21</f>
        <v>13500</v>
      </c>
      <c r="FC30" s="13">
        <f>BT22</f>
        <v>2250</v>
      </c>
      <c r="FD30" s="13">
        <f>BT23</f>
        <v>450</v>
      </c>
      <c r="FE30" s="13">
        <f>BT24</f>
        <v>1</v>
      </c>
      <c r="FF30" s="13">
        <f>BT25</f>
        <v>1</v>
      </c>
      <c r="FG30" s="13">
        <f>BT26</f>
        <v>1</v>
      </c>
      <c r="FH30" s="13">
        <f>BT27</f>
        <v>1</v>
      </c>
    </row>
    <row r="31" spans="2:164">
      <c r="B31" s="444" t="str">
        <f>'Profils de colonie'!B30</f>
        <v>D : colonie par défaut en climat tempéré, conduite pour éviter l’essaimage (légère reprise du couvain en automne)</v>
      </c>
      <c r="C31" s="444"/>
      <c r="D31" s="444"/>
      <c r="E31" s="444"/>
      <c r="F31" s="444"/>
      <c r="G31" s="444"/>
      <c r="H31" s="444"/>
      <c r="I31" s="444"/>
      <c r="J31" s="444"/>
      <c r="K31" s="444"/>
      <c r="L31" s="444"/>
      <c r="M31" s="444"/>
      <c r="AF31" s="191"/>
      <c r="AM31" s="352"/>
      <c r="AN31" s="352"/>
      <c r="AO31" s="352"/>
      <c r="AP31" s="352"/>
      <c r="AQ31" s="352"/>
      <c r="AR31" s="352"/>
      <c r="AS31" s="352"/>
      <c r="AT31" s="352"/>
      <c r="AU31" s="352"/>
      <c r="AV31" s="352"/>
      <c r="AW31" s="352"/>
      <c r="AX31" s="352"/>
      <c r="AZ31" s="374"/>
      <c r="BA31" s="301" t="str">
        <f>C21</f>
        <v>b</v>
      </c>
      <c r="BB31" s="279" t="s">
        <v>136</v>
      </c>
      <c r="BC31" s="352"/>
      <c r="BD31" s="352"/>
      <c r="BE31" s="352"/>
      <c r="BH31" s="404"/>
      <c r="BI31" s="404"/>
      <c r="BJ31" s="404"/>
      <c r="BK31" s="404"/>
      <c r="BL31" s="404"/>
      <c r="BM31" s="404"/>
      <c r="BN31" s="404"/>
      <c r="BO31" s="384" t="s">
        <v>137</v>
      </c>
      <c r="BP31" s="239">
        <f t="shared" si="71"/>
        <v>3.5</v>
      </c>
      <c r="BQ31" s="136">
        <f t="shared" si="72"/>
        <v>3.5</v>
      </c>
      <c r="BR31" s="163" t="s">
        <v>138</v>
      </c>
      <c r="BZ31">
        <f>LN(BZ30)</f>
        <v>0.67511049307379378</v>
      </c>
      <c r="CA31" s="352" t="s">
        <v>139</v>
      </c>
      <c r="CB31"/>
      <c r="CC31"/>
      <c r="CD31"/>
      <c r="CE31" s="31"/>
      <c r="CF31" s="31"/>
      <c r="CI31" s="352"/>
      <c r="CO31" s="31"/>
      <c r="CY31" s="9"/>
      <c r="CZ31" s="11"/>
      <c r="DI31" s="13"/>
      <c r="DW31" s="56"/>
      <c r="EJ31" s="377" t="s">
        <v>140</v>
      </c>
      <c r="EK31" s="2">
        <v>40544</v>
      </c>
      <c r="EL31" s="2">
        <v>40558</v>
      </c>
      <c r="EM31" s="2">
        <v>40575</v>
      </c>
      <c r="EN31" s="2">
        <v>40589</v>
      </c>
      <c r="EO31" s="2">
        <v>40603</v>
      </c>
      <c r="EP31" s="2">
        <v>40617</v>
      </c>
      <c r="EQ31" s="2">
        <v>40634</v>
      </c>
      <c r="ER31" s="2">
        <v>40648</v>
      </c>
      <c r="ES31" s="2">
        <v>40664</v>
      </c>
      <c r="ET31" s="2">
        <v>40678</v>
      </c>
      <c r="EU31" s="2">
        <v>40695</v>
      </c>
      <c r="EV31" s="2">
        <v>40709</v>
      </c>
      <c r="EW31" s="2">
        <v>40725</v>
      </c>
      <c r="EX31" s="2">
        <v>40739</v>
      </c>
      <c r="EY31" s="2">
        <v>40756</v>
      </c>
      <c r="EZ31" s="2">
        <v>40770</v>
      </c>
      <c r="FA31" s="2">
        <v>40787</v>
      </c>
      <c r="FB31" s="2">
        <v>40801</v>
      </c>
      <c r="FC31" s="2">
        <v>40817</v>
      </c>
      <c r="FD31" s="2">
        <v>40831</v>
      </c>
      <c r="FE31" s="2">
        <v>40848</v>
      </c>
      <c r="FF31" s="2">
        <v>40862</v>
      </c>
      <c r="FG31" s="2">
        <v>40878</v>
      </c>
      <c r="FH31" s="2">
        <v>40892</v>
      </c>
    </row>
    <row r="32" spans="2:164">
      <c r="B32" s="444"/>
      <c r="C32" s="444"/>
      <c r="D32" s="444"/>
      <c r="E32" s="444"/>
      <c r="F32" s="444"/>
      <c r="G32" s="444"/>
      <c r="H32" s="444"/>
      <c r="I32" s="444"/>
      <c r="J32" s="444"/>
      <c r="K32" s="444"/>
      <c r="L32" s="444"/>
      <c r="M32" s="444"/>
      <c r="AF32" s="191"/>
      <c r="AZ32" s="374"/>
      <c r="BA32" s="303">
        <f>C22</f>
        <v>100</v>
      </c>
      <c r="BB32" s="302" t="s">
        <v>141</v>
      </c>
      <c r="BC32" s="6"/>
      <c r="BD32" s="6"/>
      <c r="BE32" s="6"/>
      <c r="BG32" s="128"/>
      <c r="BO32" s="384"/>
      <c r="BP32" s="239">
        <f t="shared" si="71"/>
        <v>0.7</v>
      </c>
      <c r="BQ32" s="50">
        <f t="shared" si="72"/>
        <v>0.7</v>
      </c>
      <c r="BR32" s="163" t="s">
        <v>142</v>
      </c>
      <c r="BW32">
        <f>LN(1885/1160)/23</f>
        <v>2.1109035468769601E-2</v>
      </c>
      <c r="BZ32" s="77">
        <f>(LN(1+(BQ29*BQ30)))/12</f>
        <v>5.6259207756149482E-2</v>
      </c>
      <c r="CA32" t="s">
        <v>143</v>
      </c>
      <c r="CB32"/>
      <c r="CC32"/>
      <c r="CD32"/>
      <c r="CE32" s="31"/>
      <c r="CF32" s="31"/>
      <c r="CG32"/>
      <c r="CK32" s="9"/>
      <c r="CY32" s="5"/>
      <c r="CZ32" s="352"/>
      <c r="DW32" s="56"/>
      <c r="EJ32" s="5" t="s">
        <v>144</v>
      </c>
      <c r="EK32" s="152">
        <f>'Rupture de couvain'!C20</f>
        <v>0</v>
      </c>
      <c r="EL32" s="152">
        <f>'Rupture de couvain'!D20</f>
        <v>0</v>
      </c>
      <c r="EM32" s="152">
        <f>'Rupture de couvain'!E20</f>
        <v>0</v>
      </c>
      <c r="EN32" s="152">
        <f>'Rupture de couvain'!F20</f>
        <v>0</v>
      </c>
      <c r="EO32" s="152">
        <f>'Rupture de couvain'!G20</f>
        <v>0</v>
      </c>
      <c r="EP32" s="152">
        <f>'Rupture de couvain'!H20</f>
        <v>0</v>
      </c>
      <c r="EQ32" s="152">
        <f>'Rupture de couvain'!I20</f>
        <v>0</v>
      </c>
      <c r="ER32" s="152">
        <f>'Rupture de couvain'!J20</f>
        <v>0</v>
      </c>
      <c r="ES32" s="152">
        <f>'Rupture de couvain'!K20</f>
        <v>0</v>
      </c>
      <c r="ET32" s="152">
        <f>'Rupture de couvain'!L20</f>
        <v>0</v>
      </c>
      <c r="EU32" s="152">
        <f>'Rupture de couvain'!M20</f>
        <v>0</v>
      </c>
      <c r="EV32" s="152">
        <f>'Rupture de couvain'!N20</f>
        <v>0</v>
      </c>
      <c r="EW32" s="152">
        <f>'Rupture de couvain'!O20</f>
        <v>0</v>
      </c>
      <c r="EX32" s="152">
        <f>'Rupture de couvain'!P20</f>
        <v>0</v>
      </c>
      <c r="EY32" s="152">
        <f>'Rupture de couvain'!Q20</f>
        <v>0</v>
      </c>
      <c r="EZ32" s="152">
        <f>'Rupture de couvain'!R20</f>
        <v>0</v>
      </c>
      <c r="FA32" s="152">
        <f>'Rupture de couvain'!S20</f>
        <v>0</v>
      </c>
      <c r="FB32" s="152">
        <f>'Rupture de couvain'!T20</f>
        <v>0</v>
      </c>
      <c r="FC32" s="152">
        <f>'Rupture de couvain'!U20</f>
        <v>0</v>
      </c>
      <c r="FD32" s="152">
        <f>'Rupture de couvain'!V20</f>
        <v>0</v>
      </c>
      <c r="FE32" s="152">
        <f>'Rupture de couvain'!W20</f>
        <v>0</v>
      </c>
      <c r="FF32" s="152">
        <f>'Rupture de couvain'!X20</f>
        <v>0</v>
      </c>
      <c r="FG32" s="152">
        <f>'Rupture de couvain'!Y20</f>
        <v>0</v>
      </c>
      <c r="FH32" s="152">
        <f>'Rupture de couvain'!Z20</f>
        <v>0</v>
      </c>
    </row>
    <row r="33" spans="2:164">
      <c r="B33" s="444" t="str">
        <f>'Profils de colonie'!B58</f>
        <v>N : Essaim sur cadres, 5 cadres d’abeilles, 3 cadres de couvain, installé le 1er avril</v>
      </c>
      <c r="C33" s="444"/>
      <c r="D33" s="444"/>
      <c r="E33" s="444"/>
      <c r="F33" s="444"/>
      <c r="G33" s="444"/>
      <c r="H33" s="444"/>
      <c r="I33" s="444"/>
      <c r="J33" s="444"/>
      <c r="K33" s="444"/>
      <c r="L33" s="444"/>
      <c r="M33" s="444"/>
      <c r="AF33" s="126"/>
      <c r="AZ33" s="374"/>
      <c r="BA33" s="303">
        <f>C23</f>
        <v>0</v>
      </c>
      <c r="BB33" s="6" t="s">
        <v>145</v>
      </c>
      <c r="BC33"/>
      <c r="BP33" s="269">
        <f t="shared" si="71"/>
        <v>5.0000000000000001E-3</v>
      </c>
      <c r="BQ33" s="50">
        <f t="shared" si="72"/>
        <v>5.0000000000000001E-3</v>
      </c>
      <c r="BR33" s="163" t="s">
        <v>146</v>
      </c>
      <c r="BW33">
        <f>1160*EXP(BW32*45)</f>
        <v>2999.1430600487124</v>
      </c>
      <c r="BZ33" s="77">
        <f>12/17*BZ32+5/17*BW37</f>
        <v>3.823810493859249E-2</v>
      </c>
      <c r="CA33" s="5" t="s">
        <v>147</v>
      </c>
      <c r="CB33"/>
      <c r="CC33"/>
      <c r="CD33"/>
      <c r="CE33" s="31"/>
      <c r="CF33" s="31"/>
      <c r="CI33"/>
      <c r="CJ33"/>
      <c r="CK33" s="23"/>
      <c r="CS33" s="12"/>
      <c r="CT33" s="365"/>
      <c r="CU33" s="365"/>
      <c r="CV33" s="365"/>
      <c r="CW33" s="365"/>
      <c r="CX33" s="163"/>
      <c r="CY33" s="5"/>
      <c r="CZ33" s="352"/>
      <c r="DF33" s="13"/>
      <c r="DG33" s="13"/>
      <c r="DH33" s="13"/>
      <c r="DI33" s="13"/>
      <c r="DJ33" s="13"/>
      <c r="DK33" s="13"/>
      <c r="DL33" s="13"/>
      <c r="DM33" s="25"/>
      <c r="EJ33" s="2">
        <f t="shared" ref="EJ33:EJ56" si="73">BA4</f>
        <v>40544</v>
      </c>
      <c r="EK33" s="129">
        <f>DF4</f>
        <v>100</v>
      </c>
      <c r="EL33" s="13">
        <f>EK33*(1-EK$32)*EXP($BW$38*15)</f>
        <v>91.368346592039458</v>
      </c>
      <c r="EM33" s="13">
        <f t="shared" ref="EM33:FB48" si="74">EL33*(1-EL$32)*EXP($BW$38*15)</f>
        <v>83.481747589630487</v>
      </c>
      <c r="EN33" s="13">
        <f t="shared" si="74"/>
        <v>76.275892478785138</v>
      </c>
      <c r="EO33" s="13">
        <f t="shared" si="74"/>
        <v>69.692021806187768</v>
      </c>
      <c r="EP33" s="131">
        <f t="shared" si="74"/>
        <v>63.67644803087736</v>
      </c>
      <c r="EQ33" s="131">
        <f t="shared" si="74"/>
        <v>58.18011773435191</v>
      </c>
      <c r="ER33" s="131">
        <f t="shared" si="74"/>
        <v>53.158211619179269</v>
      </c>
      <c r="ES33" s="131">
        <f t="shared" si="74"/>
        <v>48.569779034341508</v>
      </c>
      <c r="ET33" s="131">
        <f t="shared" si="74"/>
        <v>44.377404047084866</v>
      </c>
      <c r="EU33" s="131">
        <f t="shared" si="74"/>
        <v>40.54690033829025</v>
      </c>
      <c r="EV33" s="131">
        <f t="shared" si="74"/>
        <v>37.047032433417854</v>
      </c>
      <c r="EW33" s="131">
        <f t="shared" si="74"/>
        <v>33.849260995830498</v>
      </c>
      <c r="EX33" s="131">
        <f t="shared" si="74"/>
        <v>30.92751010551444</v>
      </c>
      <c r="EY33" s="131">
        <f t="shared" si="74"/>
        <v>28.257954625494463</v>
      </c>
      <c r="EZ33" s="131">
        <f t="shared" si="74"/>
        <v>25.818825922043029</v>
      </c>
      <c r="FA33" s="131">
        <f t="shared" si="74"/>
        <v>23.590234354447603</v>
      </c>
      <c r="FB33" s="131">
        <f t="shared" si="74"/>
        <v>21.554007086846049</v>
      </c>
      <c r="FC33" s="131">
        <f t="shared" ref="FC33:FH48" si="75">FB33*(1-FB$32)*EXP($BW$38*15)</f>
        <v>19.693539899582245</v>
      </c>
      <c r="FD33" s="131">
        <f t="shared" si="75"/>
        <v>17.993661791691885</v>
      </c>
      <c r="FE33" s="131">
        <f t="shared" si="75"/>
        <v>16.44051127043242</v>
      </c>
      <c r="FF33" s="131">
        <f t="shared" si="75"/>
        <v>15.021423319072005</v>
      </c>
      <c r="FG33" s="131">
        <f t="shared" si="75"/>
        <v>13.724826121227148</v>
      </c>
      <c r="FH33" s="131">
        <f t="shared" si="75"/>
        <v>12.540146699597587</v>
      </c>
    </row>
    <row r="34" spans="2:164" ht="16.44">
      <c r="B34" s="460" t="str">
        <f>'Profils de colonie'!B86</f>
        <v>P : Colonie constituée d’un paquet d’abeilles d’environ 1,36 kg (3 lb dans l’original), installé sur des rayons bâtis et bien nourri</v>
      </c>
      <c r="C34" s="460"/>
      <c r="D34" s="460"/>
      <c r="E34" s="460"/>
      <c r="F34" s="460"/>
      <c r="G34" s="460"/>
      <c r="H34" s="460"/>
      <c r="I34" s="460"/>
      <c r="J34" s="460"/>
      <c r="K34" s="460"/>
      <c r="L34" s="460"/>
      <c r="M34" s="460"/>
      <c r="AG34" s="405" t="s">
        <v>149</v>
      </c>
      <c r="AH34" s="405"/>
      <c r="AI34" s="405"/>
      <c r="AJ34" s="405"/>
      <c r="AK34" s="405"/>
      <c r="AL34" s="405"/>
      <c r="AM34" s="405"/>
      <c r="AN34" s="405"/>
      <c r="AO34" s="405"/>
      <c r="AP34" s="405"/>
      <c r="AQ34" s="405"/>
      <c r="AR34" s="405"/>
      <c r="AS34" s="405"/>
      <c r="AT34" s="405"/>
      <c r="AU34" s="405"/>
      <c r="AV34" s="405"/>
      <c r="AW34" s="405"/>
      <c r="AX34" s="405"/>
      <c r="AY34" s="405"/>
      <c r="AZ34" s="405"/>
      <c r="BC34" s="374"/>
      <c r="BP34" s="269">
        <f t="shared" si="71"/>
        <v>6.0000000000000001E-3</v>
      </c>
      <c r="BQ34" s="50">
        <f t="shared" si="72"/>
        <v>6.0000000000000001E-3</v>
      </c>
      <c r="BR34" s="163" t="s">
        <v>148</v>
      </c>
      <c r="BX34"/>
      <c r="BY34"/>
      <c r="CB34"/>
      <c r="CC34"/>
      <c r="CD34"/>
      <c r="CE34" s="31"/>
      <c r="CF34" s="31"/>
      <c r="CI34"/>
      <c r="CJ34"/>
      <c r="CK34" s="23"/>
      <c r="CS34" s="12"/>
      <c r="CT34" s="365"/>
      <c r="CU34" s="365"/>
      <c r="CV34" s="365"/>
      <c r="CW34" s="365"/>
      <c r="CX34" s="163"/>
      <c r="CY34" s="5"/>
      <c r="CZ34" s="352"/>
      <c r="DF34" s="13"/>
      <c r="DG34" s="13"/>
      <c r="DH34" s="13"/>
      <c r="DI34" s="13"/>
      <c r="DJ34" s="13"/>
      <c r="DK34" s="13"/>
      <c r="DL34" s="13"/>
      <c r="DM34" s="25"/>
      <c r="EJ34" s="2">
        <f t="shared" si="73"/>
        <v>40558</v>
      </c>
      <c r="EL34" s="129">
        <f>EJ5</f>
        <v>0</v>
      </c>
      <c r="EM34" s="13">
        <f t="shared" si="74"/>
        <v>0</v>
      </c>
      <c r="EN34" s="13">
        <f t="shared" si="74"/>
        <v>0</v>
      </c>
      <c r="EO34" s="13">
        <f t="shared" si="74"/>
        <v>0</v>
      </c>
      <c r="EP34" s="13">
        <f t="shared" si="74"/>
        <v>0</v>
      </c>
      <c r="EQ34" s="131">
        <f t="shared" si="74"/>
        <v>0</v>
      </c>
      <c r="ER34" s="131">
        <f>EQ34*(1-EQ$32)*EXP($BW$38*15)</f>
        <v>0</v>
      </c>
      <c r="ES34" s="131">
        <f t="shared" si="74"/>
        <v>0</v>
      </c>
      <c r="ET34" s="131">
        <f t="shared" si="74"/>
        <v>0</v>
      </c>
      <c r="EU34" s="131">
        <f t="shared" si="74"/>
        <v>0</v>
      </c>
      <c r="EV34" s="131">
        <f t="shared" si="74"/>
        <v>0</v>
      </c>
      <c r="EW34" s="131">
        <f t="shared" si="74"/>
        <v>0</v>
      </c>
      <c r="EX34" s="131">
        <f t="shared" si="74"/>
        <v>0</v>
      </c>
      <c r="EY34" s="131">
        <f t="shared" si="74"/>
        <v>0</v>
      </c>
      <c r="EZ34" s="131">
        <f t="shared" si="74"/>
        <v>0</v>
      </c>
      <c r="FA34" s="131">
        <f t="shared" si="74"/>
        <v>0</v>
      </c>
      <c r="FB34" s="131">
        <f t="shared" si="74"/>
        <v>0</v>
      </c>
      <c r="FC34" s="131">
        <f t="shared" si="75"/>
        <v>0</v>
      </c>
      <c r="FD34" s="131">
        <f t="shared" si="75"/>
        <v>0</v>
      </c>
      <c r="FE34" s="131">
        <f t="shared" si="75"/>
        <v>0</v>
      </c>
      <c r="FF34" s="131">
        <f t="shared" si="75"/>
        <v>0</v>
      </c>
      <c r="FG34" s="131">
        <f t="shared" si="75"/>
        <v>0</v>
      </c>
      <c r="FH34" s="131">
        <f t="shared" si="75"/>
        <v>0</v>
      </c>
    </row>
    <row r="35" spans="2:164">
      <c r="B35" s="350" t="str">
        <f>'Profils de colonie'!B114</f>
        <v>A : Colonie subtropicale, climat sec ; pas de rupture hivernale de couvain — sud de la Californie</v>
      </c>
      <c r="C35" s="350"/>
      <c r="D35" s="350"/>
      <c r="E35" s="350"/>
      <c r="F35" s="350"/>
      <c r="G35" s="350"/>
      <c r="H35" s="350"/>
      <c r="I35" s="350"/>
      <c r="J35" s="350"/>
      <c r="K35" s="493"/>
      <c r="L35" s="494"/>
      <c r="M35" s="495"/>
      <c r="AG35" t="s">
        <v>398</v>
      </c>
      <c r="AZ35" s="374"/>
      <c r="BC35"/>
      <c r="BO35" s="49"/>
      <c r="BP35" s="239">
        <f t="shared" si="71"/>
        <v>0.6</v>
      </c>
      <c r="BQ35" s="136">
        <f t="shared" si="72"/>
        <v>0.6</v>
      </c>
      <c r="BR35" s="163" t="s">
        <v>150</v>
      </c>
      <c r="CB35"/>
      <c r="CC35"/>
      <c r="CE35" s="31"/>
      <c r="CF35" s="31"/>
      <c r="CI35"/>
      <c r="CJ35"/>
      <c r="CK35" s="23"/>
      <c r="CS35" s="12"/>
      <c r="CT35" s="365"/>
      <c r="CU35" s="365"/>
      <c r="CV35" s="365"/>
      <c r="CW35" s="365"/>
      <c r="CX35" s="163"/>
      <c r="CY35" s="5"/>
      <c r="DF35" s="13"/>
      <c r="DG35" s="13"/>
      <c r="DH35" s="13"/>
      <c r="DI35" s="13"/>
      <c r="DJ35" s="13"/>
      <c r="DK35" s="13"/>
      <c r="DL35" s="13"/>
      <c r="DM35" s="25"/>
      <c r="EJ35" s="2">
        <f t="shared" si="73"/>
        <v>40575</v>
      </c>
      <c r="EM35" s="129">
        <f>EJ6</f>
        <v>0</v>
      </c>
      <c r="EN35" s="13">
        <f t="shared" si="74"/>
        <v>0</v>
      </c>
      <c r="EO35" s="13">
        <f t="shared" si="74"/>
        <v>0</v>
      </c>
      <c r="EP35" s="13">
        <f t="shared" si="74"/>
        <v>0</v>
      </c>
      <c r="EQ35" s="13">
        <f t="shared" si="74"/>
        <v>0</v>
      </c>
      <c r="ER35" s="131">
        <f t="shared" si="74"/>
        <v>0</v>
      </c>
      <c r="ES35" s="131">
        <f t="shared" si="74"/>
        <v>0</v>
      </c>
      <c r="ET35" s="131">
        <f t="shared" si="74"/>
        <v>0</v>
      </c>
      <c r="EU35" s="131">
        <f t="shared" si="74"/>
        <v>0</v>
      </c>
      <c r="EV35" s="131">
        <f t="shared" si="74"/>
        <v>0</v>
      </c>
      <c r="EW35" s="131">
        <f t="shared" si="74"/>
        <v>0</v>
      </c>
      <c r="EX35" s="131">
        <f t="shared" si="74"/>
        <v>0</v>
      </c>
      <c r="EY35" s="131">
        <f t="shared" si="74"/>
        <v>0</v>
      </c>
      <c r="EZ35" s="131">
        <f t="shared" si="74"/>
        <v>0</v>
      </c>
      <c r="FA35" s="131">
        <f t="shared" si="74"/>
        <v>0</v>
      </c>
      <c r="FB35" s="131">
        <f t="shared" si="74"/>
        <v>0</v>
      </c>
      <c r="FC35" s="131">
        <f t="shared" si="75"/>
        <v>0</v>
      </c>
      <c r="FD35" s="131">
        <f t="shared" si="75"/>
        <v>0</v>
      </c>
      <c r="FE35" s="131">
        <f t="shared" si="75"/>
        <v>0</v>
      </c>
      <c r="FF35" s="131">
        <f t="shared" si="75"/>
        <v>0</v>
      </c>
      <c r="FG35" s="131">
        <f t="shared" si="75"/>
        <v>0</v>
      </c>
      <c r="FH35" s="131">
        <f t="shared" si="75"/>
        <v>0</v>
      </c>
    </row>
    <row r="36" spans="2:164" ht="16.19" customHeight="1">
      <c r="B36" s="460" t="str">
        <f>'Profils de colonie'!B142</f>
        <v>B : Colonie de haute latitude — été court et longue rupture hivernale de couvain</v>
      </c>
      <c r="C36" s="460"/>
      <c r="D36" s="460"/>
      <c r="E36" s="460"/>
      <c r="F36" s="460"/>
      <c r="G36" s="460"/>
      <c r="H36" s="460"/>
      <c r="I36" s="460"/>
      <c r="J36" s="460"/>
      <c r="K36" s="460"/>
      <c r="L36" s="460"/>
      <c r="M36" s="460"/>
      <c r="AG36" s="268" t="s">
        <v>399</v>
      </c>
      <c r="AZ36" s="374"/>
      <c r="BC36"/>
      <c r="BQ36">
        <v>15.208333333333334</v>
      </c>
      <c r="BR36" s="163" t="s">
        <v>152</v>
      </c>
      <c r="BV36" t="s">
        <v>14</v>
      </c>
      <c r="CB36"/>
      <c r="CC36"/>
      <c r="CE36" s="31"/>
      <c r="CF36" s="31"/>
      <c r="CI36"/>
      <c r="CJ36"/>
      <c r="CK36" s="23"/>
      <c r="CR36" s="31"/>
      <c r="CS36" s="12"/>
      <c r="CT36" s="365"/>
      <c r="CU36" s="365"/>
      <c r="CV36" s="365"/>
      <c r="CW36" s="365"/>
      <c r="CX36" s="163"/>
      <c r="CY36" s="5"/>
      <c r="DF36" s="13"/>
      <c r="DG36" s="13"/>
      <c r="DH36" s="13"/>
      <c r="DI36" s="13"/>
      <c r="DJ36" s="13"/>
      <c r="DK36" s="13"/>
      <c r="DL36" s="13"/>
      <c r="DM36" s="25"/>
      <c r="EJ36" s="2">
        <f t="shared" si="73"/>
        <v>40589</v>
      </c>
      <c r="EN36" s="129">
        <f>EJ7</f>
        <v>19.710084720211725</v>
      </c>
      <c r="EO36" s="13">
        <f t="shared" si="74"/>
        <v>18.008778520747661</v>
      </c>
      <c r="EP36" s="13">
        <f t="shared" si="74"/>
        <v>16.454323175829479</v>
      </c>
      <c r="EQ36" s="13">
        <f t="shared" si="74"/>
        <v>15.034043028666154</v>
      </c>
      <c r="ER36" s="13">
        <f t="shared" si="74"/>
        <v>13.736356541228039</v>
      </c>
      <c r="ES36" s="131">
        <f t="shared" si="74"/>
        <v>12.550681853707518</v>
      </c>
      <c r="ET36" s="131">
        <f t="shared" si="74"/>
        <v>11.467350495759689</v>
      </c>
      <c r="EU36" s="131">
        <f t="shared" si="74"/>
        <v>10.477528545889669</v>
      </c>
      <c r="EV36" s="131">
        <f t="shared" si="74"/>
        <v>9.5731445960883459</v>
      </c>
      <c r="EW36" s="131">
        <f t="shared" si="74"/>
        <v>8.7468239343110969</v>
      </c>
      <c r="EX36" s="131">
        <f t="shared" si="74"/>
        <v>7.9918284080968256</v>
      </c>
      <c r="EY36" s="131">
        <f t="shared" si="74"/>
        <v>7.3020014789509773</v>
      </c>
      <c r="EZ36" s="131">
        <f t="shared" si="74"/>
        <v>6.6717180194437766</v>
      </c>
      <c r="FA36" s="131">
        <f t="shared" si="74"/>
        <v>6.0958384436489403</v>
      </c>
      <c r="FB36" s="131">
        <f t="shared" si="74"/>
        <v>5.5696667968839479</v>
      </c>
      <c r="FC36" s="131">
        <f t="shared" si="75"/>
        <v>5.0889124629986684</v>
      </c>
      <c r="FD36" s="131">
        <f t="shared" si="75"/>
        <v>4.6496551769581149</v>
      </c>
      <c r="FE36" s="131">
        <f t="shared" si="75"/>
        <v>4.2483130574177963</v>
      </c>
      <c r="FF36" s="131">
        <f t="shared" si="75"/>
        <v>3.8816133986163606</v>
      </c>
      <c r="FG36" s="131">
        <f t="shared" si="75"/>
        <v>3.5465659834108387</v>
      </c>
      <c r="FH36" s="131">
        <f t="shared" si="75"/>
        <v>3.240438699838188</v>
      </c>
    </row>
    <row r="37" spans="2:164" ht="16.19" customHeight="1">
      <c r="B37" s="444" t="str">
        <f>'Profils de colonie'!B170</f>
        <v>C : colonie californienne sur 8 cadres utilisée pour les amandiers, dont des abeilles sont prélevées par secouage deux fois en avril. Saisir un « traitement » de 25 % en avril pour tenir compte des varroas emportés avec ces abeilles.</v>
      </c>
      <c r="C37" s="444"/>
      <c r="D37" s="444"/>
      <c r="E37" s="444"/>
      <c r="F37" s="444"/>
      <c r="G37" s="444"/>
      <c r="H37" s="444"/>
      <c r="I37" s="444"/>
      <c r="J37" s="444"/>
      <c r="K37" s="444"/>
      <c r="L37" s="444"/>
      <c r="M37" s="444"/>
      <c r="AG37" s="6" t="s">
        <v>153</v>
      </c>
      <c r="AH37" s="352"/>
      <c r="AZ37" s="374"/>
      <c r="BC37" s="374"/>
      <c r="BG37" s="54"/>
      <c r="BP37" s="275">
        <v>0.5</v>
      </c>
      <c r="BQ37" s="273">
        <v>0.5</v>
      </c>
      <c r="BR37" s="163" t="s">
        <v>400</v>
      </c>
      <c r="BW37" s="72">
        <f>LN(1-BQ33)</f>
        <v>-5.0125418235442863E-3</v>
      </c>
      <c r="BX37" s="352" t="s">
        <v>154</v>
      </c>
      <c r="CE37" s="24"/>
      <c r="CF37" s="24"/>
      <c r="CI37"/>
      <c r="CJ37"/>
      <c r="CK37" s="23"/>
      <c r="CR37" s="31"/>
      <c r="CS37" s="12"/>
      <c r="CT37" s="365"/>
      <c r="CU37" s="365"/>
      <c r="CV37" s="365"/>
      <c r="CW37" s="365"/>
      <c r="CX37" s="163"/>
      <c r="CY37" s="5"/>
      <c r="DM37" s="25"/>
      <c r="EJ37" s="2">
        <f t="shared" si="73"/>
        <v>40603</v>
      </c>
      <c r="EO37" s="129">
        <f>EJ8</f>
        <v>0</v>
      </c>
      <c r="EP37" s="13">
        <f>EO37*(1-EO$32)*EXP($BW$38*15)</f>
        <v>0</v>
      </c>
      <c r="EQ37" s="13">
        <f t="shared" si="74"/>
        <v>0</v>
      </c>
      <c r="ER37" s="13">
        <f t="shared" si="74"/>
        <v>0</v>
      </c>
      <c r="ES37" s="13">
        <f t="shared" si="74"/>
        <v>0</v>
      </c>
      <c r="ET37" s="131">
        <f t="shared" si="74"/>
        <v>0</v>
      </c>
      <c r="EU37" s="131">
        <f t="shared" si="74"/>
        <v>0</v>
      </c>
      <c r="EV37" s="131">
        <f t="shared" si="74"/>
        <v>0</v>
      </c>
      <c r="EW37" s="131">
        <f t="shared" si="74"/>
        <v>0</v>
      </c>
      <c r="EX37" s="131">
        <f t="shared" si="74"/>
        <v>0</v>
      </c>
      <c r="EY37" s="131">
        <f t="shared" si="74"/>
        <v>0</v>
      </c>
      <c r="EZ37" s="131">
        <f t="shared" si="74"/>
        <v>0</v>
      </c>
      <c r="FA37" s="131">
        <f t="shared" si="74"/>
        <v>0</v>
      </c>
      <c r="FB37" s="131">
        <f t="shared" si="74"/>
        <v>0</v>
      </c>
      <c r="FC37" s="131">
        <f t="shared" si="75"/>
        <v>0</v>
      </c>
      <c r="FD37" s="131">
        <f t="shared" si="75"/>
        <v>0</v>
      </c>
      <c r="FE37" s="131">
        <f t="shared" si="75"/>
        <v>0</v>
      </c>
      <c r="FF37" s="131">
        <f t="shared" si="75"/>
        <v>0</v>
      </c>
      <c r="FG37" s="131">
        <f t="shared" si="75"/>
        <v>0</v>
      </c>
      <c r="FH37" s="131">
        <f t="shared" si="75"/>
        <v>0</v>
      </c>
    </row>
    <row r="38" spans="2:164" ht="16.19" customHeight="1">
      <c r="B38" s="444"/>
      <c r="C38" s="444"/>
      <c r="D38" s="444"/>
      <c r="E38" s="444"/>
      <c r="F38" s="444"/>
      <c r="G38" s="444"/>
      <c r="H38" s="444"/>
      <c r="I38" s="444"/>
      <c r="J38" s="444"/>
      <c r="K38" s="444"/>
      <c r="L38" s="444"/>
      <c r="M38" s="444"/>
      <c r="AG38" s="406"/>
      <c r="AH38" s="407"/>
      <c r="AI38" t="s">
        <v>155</v>
      </c>
      <c r="AZ38" s="374"/>
      <c r="BC38" s="374"/>
      <c r="BE38" t="s">
        <v>14</v>
      </c>
      <c r="BH38" s="56"/>
      <c r="BP38" s="275">
        <v>7.0000000000000007E-2</v>
      </c>
      <c r="BQ38" s="273">
        <v>0.08</v>
      </c>
      <c r="BR38" s="163" t="s">
        <v>401</v>
      </c>
      <c r="BW38" s="72">
        <f>LN(1-BQ34)</f>
        <v>-6.0180723255630212E-3</v>
      </c>
      <c r="BX38" s="352" t="s">
        <v>156</v>
      </c>
      <c r="CE38" s="24"/>
      <c r="CF38" s="24"/>
      <c r="CH38" s="47"/>
      <c r="CI38"/>
      <c r="CJ38"/>
      <c r="CK38" s="23"/>
      <c r="CR38" s="31"/>
      <c r="CS38" s="12"/>
      <c r="CT38" s="365"/>
      <c r="CU38" s="365"/>
      <c r="CV38" s="365"/>
      <c r="CW38" s="365"/>
      <c r="CX38" s="163"/>
      <c r="CY38" s="5"/>
      <c r="DM38" s="25"/>
      <c r="EJ38" s="2">
        <f t="shared" si="73"/>
        <v>40617</v>
      </c>
      <c r="EP38" s="129">
        <f>EJ9</f>
        <v>33.352453952260227</v>
      </c>
      <c r="EQ38" s="13">
        <f t="shared" si="74"/>
        <v>30.473585724051489</v>
      </c>
      <c r="ER38" s="13">
        <f t="shared" si="74"/>
        <v>27.843211423373624</v>
      </c>
      <c r="ES38" s="13">
        <f t="shared" si="74"/>
        <v>25.439881915662337</v>
      </c>
      <c r="ET38" s="13">
        <f t="shared" si="74"/>
        <v>23.243999481307931</v>
      </c>
      <c r="EU38" s="131">
        <f t="shared" si="74"/>
        <v>21.237658007933284</v>
      </c>
      <c r="EV38" s="131">
        <f t="shared" si="74"/>
        <v>19.404496976720505</v>
      </c>
      <c r="EW38" s="131">
        <f t="shared" si="74"/>
        <v>17.72956805213181</v>
      </c>
      <c r="EX38" s="131">
        <f t="shared" si="74"/>
        <v>16.199213187143293</v>
      </c>
      <c r="EY38" s="131">
        <f t="shared" si="74"/>
        <v>14.800953250012446</v>
      </c>
      <c r="EZ38" s="131">
        <f t="shared" si="74"/>
        <v>13.5233862643971</v>
      </c>
      <c r="FA38" s="131">
        <f t="shared" si="74"/>
        <v>12.356094433034601</v>
      </c>
      <c r="FB38" s="131">
        <f t="shared" si="74"/>
        <v>11.289559186814747</v>
      </c>
      <c r="FC38" s="131">
        <f t="shared" si="75"/>
        <v>10.315083566522331</v>
      </c>
      <c r="FD38" s="131">
        <f t="shared" si="75"/>
        <v>9.4247213043186289</v>
      </c>
      <c r="FE38" s="131">
        <f t="shared" si="75"/>
        <v>8.6112120266636278</v>
      </c>
      <c r="FF38" s="131">
        <f t="shared" si="75"/>
        <v>7.867922050297409</v>
      </c>
      <c r="FG38" s="131">
        <f t="shared" si="75"/>
        <v>7.1887902885072341</v>
      </c>
      <c r="FH38" s="131">
        <f t="shared" si="75"/>
        <v>6.5682788265781635</v>
      </c>
    </row>
    <row r="39" spans="2:164" ht="16.19" customHeight="1">
      <c r="B39" s="444" t="str">
        <f>'Profils de colonie'!B198</f>
        <v>R : Ruches californiennes de Randy, divisées en 4 après la floraison des amandiers et traitées à l’acide oxalique (saisissez une réduction totale des varroas de 90 % au 1er avril, correspondant à la division en 4, au traitement oxalique et au retrait du cadre de mâles)</v>
      </c>
      <c r="C39" s="444"/>
      <c r="D39" s="444"/>
      <c r="E39" s="444"/>
      <c r="F39" s="444"/>
      <c r="G39" s="444"/>
      <c r="H39" s="444"/>
      <c r="I39" s="444"/>
      <c r="J39" s="444"/>
      <c r="K39" s="444"/>
      <c r="L39" s="444"/>
      <c r="M39" s="444"/>
      <c r="AG39" s="361" t="str">
        <f>IF($AG$38="","V","")</f>
        <v>V</v>
      </c>
      <c r="AH39" s="361" t="str">
        <f>IF($AG$38="custom","V","")</f>
        <v/>
      </c>
      <c r="AI39" s="100" t="str">
        <f>IF($AG$38="","Les valeurs par défaut en bleu s’appliquent — saisissez « custom » dans la cellule verte pour les modifier",IF(AG38="custom","Les valeurs personnalisées s’appliquent — remarquez les effets considérables de très faibles modifications de certaines variables !","Erreur"))</f>
        <v>Les valeurs par défaut en bleu s’appliquent — saisissez « custom » dans la cellule verte pour les modifier</v>
      </c>
      <c r="AZ39" s="374" t="s">
        <v>157</v>
      </c>
      <c r="BC39" s="374"/>
      <c r="BH39" s="56"/>
      <c r="BP39" s="240">
        <f>AG49</f>
        <v>0.05</v>
      </c>
      <c r="BQ39" s="136">
        <f>IF($AG$38="custom",AH49,IF($AG$38="",BP39,"erreur"))</f>
        <v>0.05</v>
      </c>
      <c r="BR39" s="163" t="s">
        <v>158</v>
      </c>
      <c r="CE39" s="31"/>
      <c r="CF39" s="31"/>
      <c r="CI39" s="16"/>
      <c r="CJ39" s="16"/>
      <c r="CK39" s="32"/>
      <c r="CR39" s="31"/>
      <c r="CS39" s="12"/>
      <c r="CT39" s="365"/>
      <c r="CU39" s="365"/>
      <c r="CV39" s="365"/>
      <c r="CW39" s="365"/>
      <c r="CX39" s="163"/>
      <c r="CY39" s="5"/>
      <c r="DM39" s="25"/>
      <c r="EJ39" s="2">
        <f t="shared" si="73"/>
        <v>40634</v>
      </c>
      <c r="EQ39" s="129">
        <f>EJ10</f>
        <v>0</v>
      </c>
      <c r="ER39" s="13">
        <f t="shared" si="74"/>
        <v>0</v>
      </c>
      <c r="ES39" s="13">
        <f t="shared" si="74"/>
        <v>0</v>
      </c>
      <c r="ET39" s="13">
        <f t="shared" si="74"/>
        <v>0</v>
      </c>
      <c r="EU39" s="13">
        <f t="shared" si="74"/>
        <v>0</v>
      </c>
      <c r="EV39" s="131">
        <f t="shared" si="74"/>
        <v>0</v>
      </c>
      <c r="EW39" s="131">
        <f t="shared" si="74"/>
        <v>0</v>
      </c>
      <c r="EX39" s="131">
        <f t="shared" si="74"/>
        <v>0</v>
      </c>
      <c r="EY39" s="131">
        <f t="shared" si="74"/>
        <v>0</v>
      </c>
      <c r="EZ39" s="131">
        <f t="shared" si="74"/>
        <v>0</v>
      </c>
      <c r="FA39" s="131">
        <f t="shared" si="74"/>
        <v>0</v>
      </c>
      <c r="FB39" s="131">
        <f t="shared" si="74"/>
        <v>0</v>
      </c>
      <c r="FC39" s="131">
        <f t="shared" si="75"/>
        <v>0</v>
      </c>
      <c r="FD39" s="131">
        <f t="shared" si="75"/>
        <v>0</v>
      </c>
      <c r="FE39" s="131">
        <f t="shared" si="75"/>
        <v>0</v>
      </c>
      <c r="FF39" s="131">
        <f t="shared" si="75"/>
        <v>0</v>
      </c>
      <c r="FG39" s="131">
        <f t="shared" si="75"/>
        <v>0</v>
      </c>
      <c r="FH39" s="131">
        <f t="shared" si="75"/>
        <v>0</v>
      </c>
    </row>
    <row r="40" spans="2:164" ht="16" customHeight="1">
      <c r="B40" s="444"/>
      <c r="C40" s="444"/>
      <c r="D40" s="444"/>
      <c r="E40" s="444"/>
      <c r="F40" s="444"/>
      <c r="G40" s="444"/>
      <c r="H40" s="444"/>
      <c r="I40" s="444"/>
      <c r="J40" s="444"/>
      <c r="K40" s="444"/>
      <c r="L40" s="444"/>
      <c r="M40" s="444"/>
      <c r="AG40" s="96">
        <v>1.45</v>
      </c>
      <c r="AH40" s="237">
        <v>0.73</v>
      </c>
      <c r="AI40" s="163" t="s">
        <v>159</v>
      </c>
      <c r="AZ40" s="376" t="s">
        <v>14</v>
      </c>
      <c r="BA40" s="408">
        <f>IF(AG38="custom", AH40*AH41,AG40*AG41)</f>
        <v>1.0149999999999999</v>
      </c>
      <c r="BB40" s="429" t="s">
        <v>160</v>
      </c>
      <c r="BC40" s="430"/>
      <c r="BD40" s="430"/>
      <c r="BE40" s="430"/>
      <c r="BF40" s="430"/>
      <c r="BG40" s="431"/>
      <c r="BH40" s="56"/>
      <c r="CE40" s="31"/>
      <c r="CF40" s="31"/>
      <c r="CI40"/>
      <c r="CJ40"/>
      <c r="CK40" s="23"/>
      <c r="CR40" s="31"/>
      <c r="CS40" s="12"/>
      <c r="CT40" s="365"/>
      <c r="CU40" s="365"/>
      <c r="CV40" s="365"/>
      <c r="CW40" s="365"/>
      <c r="CX40" s="163"/>
      <c r="CY40" s="5"/>
      <c r="DM40" s="25"/>
      <c r="EJ40" s="2">
        <f t="shared" si="73"/>
        <v>40648</v>
      </c>
      <c r="ER40" s="129">
        <f>EJ11</f>
        <v>0</v>
      </c>
      <c r="ES40" s="13">
        <f t="shared" si="74"/>
        <v>0</v>
      </c>
      <c r="ET40" s="13">
        <f t="shared" si="74"/>
        <v>0</v>
      </c>
      <c r="EU40" s="13">
        <f t="shared" si="74"/>
        <v>0</v>
      </c>
      <c r="EV40" s="13">
        <f t="shared" si="74"/>
        <v>0</v>
      </c>
      <c r="EW40" s="131">
        <f t="shared" si="74"/>
        <v>0</v>
      </c>
      <c r="EX40" s="131">
        <f t="shared" si="74"/>
        <v>0</v>
      </c>
      <c r="EY40" s="131">
        <f t="shared" si="74"/>
        <v>0</v>
      </c>
      <c r="EZ40" s="131">
        <f t="shared" si="74"/>
        <v>0</v>
      </c>
      <c r="FA40" s="131">
        <f t="shared" si="74"/>
        <v>0</v>
      </c>
      <c r="FB40" s="131">
        <f t="shared" si="74"/>
        <v>0</v>
      </c>
      <c r="FC40" s="131">
        <f t="shared" si="75"/>
        <v>0</v>
      </c>
      <c r="FD40" s="131">
        <f t="shared" si="75"/>
        <v>0</v>
      </c>
      <c r="FE40" s="131">
        <f t="shared" si="75"/>
        <v>0</v>
      </c>
      <c r="FF40" s="131">
        <f t="shared" si="75"/>
        <v>0</v>
      </c>
      <c r="FG40" s="131">
        <f t="shared" si="75"/>
        <v>0</v>
      </c>
      <c r="FH40" s="131">
        <f t="shared" si="75"/>
        <v>0</v>
      </c>
    </row>
    <row r="41" spans="2:164" ht="16" customHeight="1">
      <c r="B41" s="444" t="str">
        <f>'Profils de colonie'!B226</f>
        <v>S : colonie essaimant en mai ; saisir une réduction des varroas de 50–60 % par « traitement » le 15 mai.</v>
      </c>
      <c r="C41" s="444"/>
      <c r="D41" s="444"/>
      <c r="E41" s="444"/>
      <c r="F41" s="444"/>
      <c r="G41" s="444"/>
      <c r="H41" s="444"/>
      <c r="I41" s="444"/>
      <c r="J41" s="444"/>
      <c r="K41" s="444"/>
      <c r="L41" s="444"/>
      <c r="M41" s="444"/>
      <c r="AG41" s="90">
        <v>0.7</v>
      </c>
      <c r="AH41" s="187">
        <v>0.7</v>
      </c>
      <c r="AI41" s="163" t="s">
        <v>161</v>
      </c>
      <c r="AW41" s="481" t="s">
        <v>14</v>
      </c>
      <c r="AX41" s="481"/>
      <c r="AZ41" s="374"/>
      <c r="BA41" s="408"/>
      <c r="BB41" s="432"/>
      <c r="BC41" s="433"/>
      <c r="BD41" s="433"/>
      <c r="BE41" s="433"/>
      <c r="BF41" s="433"/>
      <c r="BG41" s="434"/>
      <c r="BH41" s="364"/>
      <c r="BI41" s="364"/>
      <c r="BJ41" s="364"/>
      <c r="BK41" s="364"/>
      <c r="BP41" s="12">
        <v>5</v>
      </c>
      <c r="BQ41" s="50">
        <f>IF($AG$38="custom",AH48,IF($AG$38="",BP41,"erreur"))</f>
        <v>5</v>
      </c>
      <c r="BR41" t="s">
        <v>162</v>
      </c>
      <c r="CE41" s="31"/>
      <c r="CF41" s="31"/>
      <c r="CI41"/>
      <c r="CJ41"/>
      <c r="CK41" s="23"/>
      <c r="CR41" s="31"/>
      <c r="CS41" s="12"/>
      <c r="CT41" s="365"/>
      <c r="CU41" s="365"/>
      <c r="CV41" s="365"/>
      <c r="CW41" s="365"/>
      <c r="CX41" s="163"/>
      <c r="CY41" s="5"/>
      <c r="DM41" s="25"/>
      <c r="EJ41" s="2">
        <f t="shared" si="73"/>
        <v>40664</v>
      </c>
      <c r="EL41" s="130" t="s">
        <v>163</v>
      </c>
      <c r="EM41" s="130"/>
      <c r="EN41" s="130"/>
      <c r="EO41" s="130"/>
      <c r="ES41" s="129">
        <f>EJ12</f>
        <v>36.657561528891137</v>
      </c>
      <c r="ET41" s="13">
        <f t="shared" si="74"/>
        <v>33.493407869907372</v>
      </c>
      <c r="EU41" s="13">
        <f t="shared" si="74"/>
        <v>30.602372988062388</v>
      </c>
      <c r="EV41" s="13">
        <f t="shared" si="74"/>
        <v>27.960882217121505</v>
      </c>
      <c r="EW41" s="13">
        <f t="shared" si="74"/>
        <v>25.547395774331505</v>
      </c>
      <c r="EX41" s="131">
        <f t="shared" si="74"/>
        <v>23.342233116331254</v>
      </c>
      <c r="EY41" s="131">
        <f t="shared" si="74"/>
        <v>21.327412456051356</v>
      </c>
      <c r="EZ41" s="131">
        <f t="shared" si="74"/>
        <v>19.486504131958799</v>
      </c>
      <c r="FA41" s="131">
        <f t="shared" si="74"/>
        <v>17.804496633960206</v>
      </c>
      <c r="FB41" s="131">
        <f t="shared" si="74"/>
        <v>16.267674193484762</v>
      </c>
      <c r="FC41" s="131">
        <f t="shared" si="75"/>
        <v>14.863504939566917</v>
      </c>
      <c r="FD41" s="131">
        <f t="shared" si="75"/>
        <v>13.580538708908406</v>
      </c>
      <c r="FE41" s="131">
        <f t="shared" si="75"/>
        <v>12.408313676621514</v>
      </c>
      <c r="FF41" s="131">
        <f t="shared" si="75"/>
        <v>11.33727104628298</v>
      </c>
      <c r="FG41" s="131">
        <f t="shared" si="75"/>
        <v>10.358677103646773</v>
      </c>
      <c r="FH41" s="131">
        <f t="shared" si="75"/>
        <v>9.4645519984102187</v>
      </c>
    </row>
    <row r="42" spans="2:164" ht="16.19" customHeight="1">
      <c r="B42" s="460" t="str">
        <f>'Profils de colonie'!B254</f>
        <v xml:space="preserve">F : colonie sauvage limitée à une cavité de 40 litres (1 corps Langstroth), essaimant deux fois</v>
      </c>
      <c r="C42" s="460"/>
      <c r="D42" s="460"/>
      <c r="E42" s="460"/>
      <c r="F42" s="460"/>
      <c r="G42" s="460"/>
      <c r="H42" s="460"/>
      <c r="I42" s="460"/>
      <c r="J42" s="460"/>
      <c r="K42" s="460"/>
      <c r="L42" s="460"/>
      <c r="M42" s="460"/>
      <c r="AG42" s="96">
        <v>3.5</v>
      </c>
      <c r="AH42" s="237">
        <v>1.75</v>
      </c>
      <c r="AI42" s="163" t="s">
        <v>164</v>
      </c>
      <c r="AT42" s="410" t="s">
        <v>165</v>
      </c>
      <c r="AU42" s="395" t="s">
        <v>166</v>
      </c>
      <c r="AV42" s="395"/>
      <c r="AW42" s="395"/>
      <c r="AX42" s="395"/>
      <c r="AY42" s="395"/>
      <c r="AZ42" s="396"/>
      <c r="BB42" s="435"/>
      <c r="BC42" s="436"/>
      <c r="BD42" s="436"/>
      <c r="BE42" s="436"/>
      <c r="BF42" s="436"/>
      <c r="BG42" s="437"/>
      <c r="BP42" s="12">
        <v>5</v>
      </c>
      <c r="BQ42" s="50">
        <f>IF($AG$38="custom",$AH$47,IF($AG$38="",BP42,"erreur"))</f>
        <v>5</v>
      </c>
      <c r="BR42" t="s">
        <v>167</v>
      </c>
      <c r="CE42" s="31"/>
      <c r="CF42" s="31"/>
      <c r="CI42"/>
      <c r="CJ42"/>
      <c r="CK42" s="23"/>
      <c r="CR42" s="31"/>
      <c r="CS42" s="12"/>
      <c r="CT42" s="365"/>
      <c r="CU42" s="365"/>
      <c r="CV42" s="365"/>
      <c r="CW42" s="365"/>
      <c r="CX42" s="163"/>
      <c r="CY42" s="5"/>
      <c r="DM42" s="25"/>
      <c r="EJ42" s="2">
        <f t="shared" si="73"/>
        <v>40678</v>
      </c>
      <c r="ET42" s="129">
        <f>EJ13</f>
        <v>40.738091193351011</v>
      </c>
      <c r="EU42" s="13">
        <f t="shared" si="74"/>
        <v>37.221720356522056</v>
      </c>
      <c r="EV42" s="13">
        <f t="shared" si="74"/>
        <v>34.008870462866781</v>
      </c>
      <c r="EW42" s="13">
        <f t="shared" si="74"/>
        <v>31.073342636549857</v>
      </c>
      <c r="EX42" s="13">
        <f t="shared" si="74"/>
        <v>28.391199397894844</v>
      </c>
      <c r="EY42" s="131">
        <f t="shared" si="74"/>
        <v>25.940569467505583</v>
      </c>
      <c r="EZ42" s="131">
        <f t="shared" si="74"/>
        <v>23.701469419019265</v>
      </c>
      <c r="FA42" s="131">
        <f t="shared" si="74"/>
        <v>21.655640726175765</v>
      </c>
      <c r="FB42" s="131">
        <f t="shared" si="74"/>
        <v>19.786400875419123</v>
      </c>
      <c r="FC42" s="131">
        <f t="shared" si="75"/>
        <v>18.078507329943275</v>
      </c>
      <c r="FD42" s="131">
        <f t="shared" si="75"/>
        <v>16.518033235889831</v>
      </c>
      <c r="FE42" s="131">
        <f t="shared" si="75"/>
        <v>15.092253857156093</v>
      </c>
      <c r="FF42" s="131">
        <f t="shared" si="75"/>
        <v>13.789542812756823</v>
      </c>
      <c r="FG42" s="131">
        <f t="shared" si="75"/>
        <v>12.599277270617321</v>
      </c>
      <c r="FH42" s="131">
        <f t="shared" si="75"/>
        <v>11.511751324709683</v>
      </c>
    </row>
    <row r="43" spans="2:164" ht="16.19" customHeight="1">
      <c r="B43" s="444" t="s">
        <v>168</v>
      </c>
      <c r="C43" s="444"/>
      <c r="D43" s="444"/>
      <c r="E43" s="444"/>
      <c r="F43" s="444"/>
      <c r="G43" s="444"/>
      <c r="H43" s="444"/>
      <c r="I43" s="444"/>
      <c r="J43" s="444"/>
      <c r="K43" s="444"/>
      <c r="L43" s="444"/>
      <c r="M43" s="444"/>
      <c r="AG43" s="90">
        <v>0.7</v>
      </c>
      <c r="AH43" s="187">
        <v>0.7</v>
      </c>
      <c r="AI43" s="163" t="s">
        <v>169</v>
      </c>
      <c r="AT43" s="411"/>
      <c r="AU43" s="398"/>
      <c r="AV43" s="398"/>
      <c r="AW43" s="398"/>
      <c r="AX43" s="398"/>
      <c r="AY43" s="398"/>
      <c r="AZ43" s="399"/>
      <c r="BC43" s="374"/>
      <c r="BP43" s="12">
        <v>4500</v>
      </c>
      <c r="BQ43" s="50">
        <v>4500</v>
      </c>
      <c r="BR43" s="18" t="s">
        <v>170</v>
      </c>
      <c r="CE43" s="31"/>
      <c r="CF43" s="31"/>
      <c r="CI43"/>
      <c r="CJ43"/>
      <c r="CK43" s="23"/>
      <c r="CR43" s="31"/>
      <c r="CS43" s="12"/>
      <c r="CT43" s="365"/>
      <c r="CU43" s="365"/>
      <c r="CV43" s="365"/>
      <c r="CW43" s="365"/>
      <c r="CX43" s="163"/>
      <c r="CY43" s="5"/>
      <c r="DM43" s="25"/>
      <c r="EJ43" s="2">
        <f t="shared" si="73"/>
        <v>40695</v>
      </c>
      <c r="EU43" s="129">
        <f>EJ14</f>
        <v>46.161013916223446</v>
      </c>
      <c r="EV43" s="13">
        <f t="shared" si="74"/>
        <v>42.17655518537461</v>
      </c>
      <c r="EW43" s="13">
        <f t="shared" si="74"/>
        <v>38.536021122355869</v>
      </c>
      <c r="EX43" s="13">
        <f t="shared" si="74"/>
        <v>35.209725341855645</v>
      </c>
      <c r="EY43" s="13">
        <f t="shared" si="74"/>
        <v>32.170543884451817</v>
      </c>
      <c r="EZ43" s="131">
        <f t="shared" si="74"/>
        <v>29.393694036890093</v>
      </c>
      <c r="FA43" s="131">
        <f t="shared" si="74"/>
        <v>26.856532243829374</v>
      </c>
      <c r="FB43" s="131">
        <f t="shared" si="74"/>
        <v>24.538369463144853</v>
      </c>
      <c r="FC43" s="131">
        <f t="shared" si="75"/>
        <v>22.420302459121363</v>
      </c>
      <c r="FD43" s="131">
        <f t="shared" si="75"/>
        <v>20.485059657833553</v>
      </c>
      <c r="FE43" s="131">
        <f t="shared" si="75"/>
        <v>18.716860307755415</v>
      </c>
      <c r="FF43" s="131">
        <f t="shared" si="75"/>
        <v>17.10128579713783</v>
      </c>
      <c r="FG43" s="131">
        <f t="shared" si="75"/>
        <v>15.625162078824111</v>
      </c>
      <c r="FH43" s="131">
        <f t="shared" si="75"/>
        <v>14.276452243747933</v>
      </c>
    </row>
    <row r="44" spans="2:164" ht="32.81" customHeight="1">
      <c r="AG44" s="97">
        <v>5.0000000000000001E-3</v>
      </c>
      <c r="AH44" s="189">
        <v>5.0000000000000001E-3</v>
      </c>
      <c r="AI44" s="163" t="s">
        <v>171</v>
      </c>
      <c r="AZ44" s="374"/>
      <c r="BC44" s="374"/>
      <c r="BE44" s="153" t="s">
        <v>14</v>
      </c>
      <c r="BL44" s="163"/>
      <c r="BM44" s="163"/>
      <c r="BN44" s="5"/>
      <c r="BP44" s="12">
        <v>2000</v>
      </c>
      <c r="BQ44" s="50">
        <v>2000</v>
      </c>
      <c r="BR44" s="352" t="s">
        <v>172</v>
      </c>
      <c r="CE44" s="31"/>
      <c r="CF44" s="31"/>
      <c r="CI44"/>
      <c r="CJ44"/>
      <c r="CK44" s="23"/>
      <c r="CR44" s="31"/>
      <c r="CS44" s="15"/>
      <c r="CT44" s="163"/>
      <c r="CU44" s="163"/>
      <c r="CV44" s="163"/>
      <c r="CW44" s="163"/>
      <c r="CX44" s="163"/>
      <c r="DM44" s="25"/>
      <c r="EJ44" s="2">
        <f t="shared" si="73"/>
        <v>40709</v>
      </c>
      <c r="EV44" s="129">
        <f>EJ15</f>
        <v>65.970886076971439</v>
      </c>
      <c r="EW44" s="13">
        <f t="shared" si="74"/>
        <v>60.276507840646772</v>
      </c>
      <c r="EX44" s="13">
        <f t="shared" si="74"/>
        <v>55.073648597419982</v>
      </c>
      <c r="EY44" s="13">
        <f t="shared" si="74"/>
        <v>50.319882131372566</v>
      </c>
      <c r="EZ44" s="13">
        <f t="shared" si="74"/>
        <v>45.976444310498223</v>
      </c>
      <c r="FA44" s="131">
        <f t="shared" si="74"/>
        <v>42.007916988312026</v>
      </c>
      <c r="FB44" s="131">
        <f t="shared" si="74"/>
        <v>38.38193918997716</v>
      </c>
      <c r="FC44" s="131">
        <f t="shared" si="75"/>
        <v>35.068943227844159</v>
      </c>
      <c r="FD44" s="131">
        <f>FC44*(1-FC$32)*EXP($BW$38*15)</f>
        <v>32.041913594582205</v>
      </c>
      <c r="FE44" s="131">
        <f t="shared" si="75"/>
        <v>29.27616666781968</v>
      </c>
      <c r="FF44" s="131">
        <f t="shared" si="75"/>
        <v>26.749149429916617</v>
      </c>
      <c r="FG44" s="131">
        <f t="shared" si="75"/>
        <v>24.440255561548764</v>
      </c>
      <c r="FH44" s="131">
        <f t="shared" si="75"/>
        <v>22.330657409456077</v>
      </c>
    </row>
    <row r="45" spans="2:164">
      <c r="B45" s="467" t="s">
        <v>173</v>
      </c>
      <c r="C45" s="467"/>
      <c r="D45" s="467"/>
      <c r="E45" s="467"/>
      <c r="F45" s="467"/>
      <c r="G45" s="467"/>
      <c r="H45" s="467"/>
      <c r="AG45" s="97">
        <v>6.0000000000000001E-3</v>
      </c>
      <c r="AH45" s="189">
        <v>6.0000000000000001E-3</v>
      </c>
      <c r="AI45" s="163" t="s">
        <v>174</v>
      </c>
      <c r="AZ45" s="374"/>
      <c r="BB45" s="376" t="s">
        <v>14</v>
      </c>
      <c r="BC45" s="374"/>
      <c r="BL45" s="163"/>
      <c r="BM45" s="163"/>
      <c r="BP45" s="12"/>
      <c r="BQ45" s="50"/>
      <c r="BZ45" s="376"/>
      <c r="CE45" s="31"/>
      <c r="CF45" s="31"/>
      <c r="CI45"/>
      <c r="CJ45"/>
      <c r="CK45" s="23"/>
      <c r="CM45" s="12"/>
      <c r="CR45" s="31"/>
      <c r="CS45" s="15"/>
      <c r="CT45" s="163"/>
      <c r="CU45" s="163"/>
      <c r="CV45" s="163"/>
      <c r="CW45" s="163"/>
      <c r="CX45" s="163"/>
      <c r="DM45" s="25"/>
      <c r="EJ45" s="2">
        <f t="shared" si="73"/>
        <v>40725</v>
      </c>
      <c r="EW45" s="129">
        <f>EJ16</f>
        <v>69.687225551393183</v>
      </c>
      <c r="EX45" s="13">
        <f t="shared" si="74"/>
        <v>63.672065772173205</v>
      </c>
      <c r="EY45" s="13">
        <f t="shared" si="74"/>
        <v>58.176113737030541</v>
      </c>
      <c r="EZ45" s="13">
        <f t="shared" si="74"/>
        <v>53.154553233029148</v>
      </c>
      <c r="FA45" s="13">
        <f t="shared" si="74"/>
        <v>48.566436427404192</v>
      </c>
      <c r="FB45" s="131">
        <f t="shared" si="74"/>
        <v>44.374349962393168</v>
      </c>
      <c r="FC45" s="131">
        <f t="shared" si="75"/>
        <v>40.544109871603922</v>
      </c>
      <c r="FD45" s="131">
        <f t="shared" si="75"/>
        <v>37.044482830144361</v>
      </c>
      <c r="FE45" s="131">
        <f t="shared" si="75"/>
        <v>33.846931465474846</v>
      </c>
      <c r="FF45" s="131">
        <f t="shared" si="75"/>
        <v>30.92538165214512</v>
      </c>
      <c r="FG45" s="131">
        <f t="shared" si="75"/>
        <v>28.256009892842933</v>
      </c>
      <c r="FH45" s="131">
        <f t="shared" si="75"/>
        <v>25.81704905197369</v>
      </c>
    </row>
    <row r="46" spans="2:164">
      <c r="B46" s="294">
        <v>0</v>
      </c>
      <c r="C46" s="466" t="s">
        <v>175</v>
      </c>
      <c r="D46" s="466"/>
      <c r="E46" s="466"/>
      <c r="F46" s="466"/>
      <c r="G46" s="466"/>
      <c r="H46" s="466"/>
      <c r="AG46" s="90">
        <v>0.6</v>
      </c>
      <c r="AH46" s="187">
        <v>0.6</v>
      </c>
      <c r="AI46" s="163" t="s">
        <v>402</v>
      </c>
      <c r="AZ46" s="374"/>
      <c r="BC46" s="374"/>
      <c r="BG46" s="376" t="s">
        <v>14</v>
      </c>
      <c r="BL46" s="163"/>
      <c r="BM46" s="163"/>
      <c r="BP46" s="135">
        <v>0.95</v>
      </c>
      <c r="BQ46" s="136">
        <v>0.95</v>
      </c>
      <c r="BR46" t="s">
        <v>177</v>
      </c>
      <c r="CE46" s="31"/>
      <c r="CF46" s="31"/>
      <c r="CI46"/>
      <c r="CJ46"/>
      <c r="CK46" s="23"/>
      <c r="CM46" s="12"/>
      <c r="CP46" s="374"/>
      <c r="CY46" s="16"/>
      <c r="DM46" s="25"/>
      <c r="EJ46" s="2">
        <f t="shared" si="73"/>
        <v>40739</v>
      </c>
      <c r="EX46" s="129">
        <f>EJ17</f>
        <v>89.840854024082603</v>
      </c>
      <c r="EY46" s="13">
        <f t="shared" si="74"/>
        <v>82.086102885972025</v>
      </c>
      <c r="EZ46" s="13">
        <f t="shared" si="74"/>
        <v>75.000714988753032</v>
      </c>
      <c r="FA46" s="13">
        <f t="shared" si="74"/>
        <v>68.526913217431556</v>
      </c>
      <c r="FB46" s="13">
        <f t="shared" si="74"/>
        <v>62.611907577328964</v>
      </c>
      <c r="FC46" s="131">
        <f t="shared" si="75"/>
        <v>57.207464723141349</v>
      </c>
      <c r="FD46" s="131">
        <f t="shared" si="75"/>
        <v>52.269514644758495</v>
      </c>
      <c r="FE46" s="131">
        <f t="shared" si="75"/>
        <v>47.757791302599763</v>
      </c>
      <c r="FF46" s="131">
        <f t="shared" si="75"/>
        <v>43.635504282062229</v>
      </c>
      <c r="FG46" s="131">
        <f t="shared" si="75"/>
        <v>39.869038789618841</v>
      </c>
      <c r="FH46" s="131">
        <f t="shared" si="75"/>
        <v>36.427681544213598</v>
      </c>
    </row>
    <row r="47" spans="2:164">
      <c r="B47" s="351">
        <v>1</v>
      </c>
      <c r="C47" s="466" t="s">
        <v>178</v>
      </c>
      <c r="D47" s="466"/>
      <c r="E47" s="466"/>
      <c r="F47" s="466"/>
      <c r="G47" s="466"/>
      <c r="H47" s="466"/>
      <c r="AG47" s="8">
        <v>4.5</v>
      </c>
      <c r="AH47" s="188">
        <v>5</v>
      </c>
      <c r="AI47" t="s">
        <v>179</v>
      </c>
      <c r="AZ47" s="374"/>
      <c r="BC47" s="374"/>
      <c r="BF47" s="376" t="s">
        <v>14</v>
      </c>
      <c r="CE47" s="31"/>
      <c r="CF47" s="31"/>
      <c r="CI47"/>
      <c r="CJ47"/>
      <c r="CK47" s="23"/>
      <c r="CM47" s="12"/>
      <c r="DM47" s="25"/>
      <c r="EJ47" s="2">
        <f t="shared" si="73"/>
        <v>40756</v>
      </c>
      <c r="EY47" s="129">
        <f>EJ18</f>
        <v>116.05432027905533</v>
      </c>
      <c r="EZ47" s="13">
        <f t="shared" si="74"/>
        <v>106.03691358760281</v>
      </c>
      <c r="FA47" s="13">
        <f t="shared" si="74"/>
        <v>96.884174722222326</v>
      </c>
      <c r="FB47" s="13">
        <f t="shared" si="74"/>
        <v>88.521468553037181</v>
      </c>
      <c r="FC47" s="13">
        <f t="shared" si="75"/>
        <v>80.880602195902227</v>
      </c>
      <c r="FD47" s="131">
        <f t="shared" si="75"/>
        <v>73.899268940080631</v>
      </c>
      <c r="FE47" s="131">
        <f t="shared" si="75"/>
        <v>67.520540174156238</v>
      </c>
      <c r="FF47" s="131">
        <f t="shared" si="75"/>
        <v>61.692401167140318</v>
      </c>
      <c r="FG47" s="131">
        <f t="shared" si="75"/>
        <v>56.367326919344166</v>
      </c>
      <c r="FH47" s="131">
        <f t="shared" si="75"/>
        <v>51.501894624334341</v>
      </c>
    </row>
    <row r="48" spans="2:164" ht="16.19" customHeight="1">
      <c r="B48" s="351">
        <v>2</v>
      </c>
      <c r="C48" s="466" t="s">
        <v>180</v>
      </c>
      <c r="D48" s="466"/>
      <c r="E48" s="466"/>
      <c r="F48" s="466"/>
      <c r="G48" s="466"/>
      <c r="H48" s="466"/>
      <c r="AG48" s="8">
        <v>5</v>
      </c>
      <c r="AH48" s="238">
        <v>5</v>
      </c>
      <c r="AI48" s="352" t="s">
        <v>181</v>
      </c>
      <c r="AJ48" s="163"/>
      <c r="AZ48" s="374"/>
      <c r="BC48" s="374"/>
      <c r="BD48" s="153" t="s">
        <v>14</v>
      </c>
      <c r="BP48" s="6" t="s">
        <v>182</v>
      </c>
      <c r="BX48"/>
      <c r="BY48"/>
      <c r="BZ48"/>
      <c r="CA48"/>
      <c r="CB48"/>
      <c r="CE48" s="31"/>
      <c r="CF48" s="31"/>
      <c r="CI48"/>
      <c r="CJ48"/>
      <c r="CK48" s="23"/>
      <c r="CM48" s="113"/>
      <c r="DM48" s="25"/>
      <c r="EJ48" s="2">
        <f t="shared" si="73"/>
        <v>40770</v>
      </c>
      <c r="EZ48" s="129">
        <f>EJ19</f>
        <v>145.51325004628117</v>
      </c>
      <c r="FA48" s="13">
        <f t="shared" si="74"/>
        <v>132.95305063962721</v>
      </c>
      <c r="FB48" s="13">
        <f t="shared" si="74"/>
        <v>121.47700411310433</v>
      </c>
      <c r="FC48" s="13">
        <f t="shared" si="75"/>
        <v>110.9915301476872</v>
      </c>
      <c r="FD48" s="13">
        <f t="shared" si="75"/>
        <v>101.41112595314681</v>
      </c>
      <c r="FE48" s="131">
        <f t="shared" si="75"/>
        <v>92.657669043760862</v>
      </c>
      <c r="FF48" s="131">
        <f t="shared" si="75"/>
        <v>84.659780196008285</v>
      </c>
      <c r="FG48" s="131">
        <f t="shared" si="75"/>
        <v>77.352241393547629</v>
      </c>
      <c r="FH48" s="131">
        <f t="shared" si="75"/>
        <v>70.675464013167613</v>
      </c>
    </row>
    <row r="49" spans="2:164">
      <c r="B49" s="351">
        <v>3</v>
      </c>
      <c r="C49" s="466" t="s">
        <v>183</v>
      </c>
      <c r="D49" s="466"/>
      <c r="E49" s="466"/>
      <c r="F49" s="466"/>
      <c r="G49" s="466"/>
      <c r="H49" s="466"/>
      <c r="AG49" s="90">
        <v>0.05</v>
      </c>
      <c r="AH49" s="254">
        <v>0.05</v>
      </c>
      <c r="AI49" s="163" t="s">
        <v>403</v>
      </c>
      <c r="AZ49" s="374"/>
      <c r="BC49" s="374"/>
      <c r="BP49" s="5" t="s">
        <v>185</v>
      </c>
      <c r="BQ49" t="s">
        <v>186</v>
      </c>
      <c r="BX49"/>
      <c r="BY49"/>
      <c r="BZ49"/>
      <c r="CA49"/>
      <c r="CB49"/>
      <c r="CI49"/>
      <c r="CJ49"/>
      <c r="CK49" s="23"/>
      <c r="CM49" s="12"/>
      <c r="DM49" s="25"/>
      <c r="DP49" s="79"/>
      <c r="DQ49" s="276"/>
      <c r="DR49" s="79"/>
      <c r="EJ49" s="2">
        <f t="shared" si="73"/>
        <v>40787</v>
      </c>
      <c r="FA49" s="129">
        <f>EJ20</f>
        <v>173.42195893301798</v>
      </c>
      <c r="FB49" s="13">
        <f t="shared" ref="FB49:FH50" si="76">FA49*(1-FA$32)*EXP($BW$38*15)</f>
        <v>158.45277650462421</v>
      </c>
      <c r="FC49" s="13">
        <f t="shared" si="76"/>
        <v>144.77568202145471</v>
      </c>
      <c r="FD49" s="13">
        <f t="shared" si="76"/>
        <v>132.27914693035171</v>
      </c>
      <c r="FE49" s="131">
        <f t="shared" si="76"/>
        <v>120.86126943631689</v>
      </c>
      <c r="FF49" s="131">
        <f t="shared" si="76"/>
        <v>110.42894355411268</v>
      </c>
      <c r="FG49" s="131">
        <f t="shared" si="76"/>
        <v>100.89709988444929</v>
      </c>
      <c r="FH49" s="131">
        <f t="shared" si="76"/>
        <v>92.188011923739879</v>
      </c>
    </row>
    <row r="50" spans="2:164">
      <c r="B50" s="351">
        <v>4</v>
      </c>
      <c r="C50" s="465" t="s">
        <v>187</v>
      </c>
      <c r="D50" s="465"/>
      <c r="E50" s="465"/>
      <c r="F50" s="465"/>
      <c r="G50" s="465"/>
      <c r="H50" s="465"/>
      <c r="AI50" s="163"/>
      <c r="AR50" s="5"/>
      <c r="AS50" s="5"/>
      <c r="AZ50" s="374"/>
      <c r="BC50" s="374"/>
      <c r="BX50"/>
      <c r="BY50"/>
      <c r="BZ50"/>
      <c r="CA50" s="14"/>
      <c r="CB50" s="14"/>
      <c r="CI50"/>
      <c r="CJ50"/>
      <c r="CK50" s="23"/>
      <c r="CM50" s="12"/>
      <c r="DM50" s="25"/>
      <c r="DP50" s="79"/>
      <c r="DQ50" s="276"/>
      <c r="DR50" s="79"/>
      <c r="EJ50" s="2">
        <f t="shared" si="73"/>
        <v>40801</v>
      </c>
      <c r="FB50" s="129">
        <f>EJ21</f>
        <v>197.45700658527787</v>
      </c>
      <c r="FC50" s="13">
        <f t="shared" si="76"/>
        <v>180.41320214710288</v>
      </c>
      <c r="FD50" s="13">
        <f t="shared" si="76"/>
        <v>164.84055983556175</v>
      </c>
      <c r="FE50" s="13">
        <f t="shared" si="76"/>
        <v>150.61209403481425</v>
      </c>
      <c r="FF50" s="131">
        <f t="shared" si="76"/>
        <v>137.61178008725747</v>
      </c>
      <c r="FG50" s="131">
        <f t="shared" si="76"/>
        <v>125.73360818160054</v>
      </c>
      <c r="FH50" s="131">
        <f t="shared" si="76"/>
        <v>114.88071890604166</v>
      </c>
    </row>
    <row r="51" spans="2:164">
      <c r="B51" s="351" t="s">
        <v>188</v>
      </c>
      <c r="C51" s="464" t="s">
        <v>189</v>
      </c>
      <c r="D51" s="464"/>
      <c r="E51" s="464"/>
      <c r="F51" s="464"/>
      <c r="G51" s="464"/>
      <c r="H51" s="464"/>
      <c r="I51" s="464"/>
      <c r="J51" s="464"/>
      <c r="AI51" s="163"/>
      <c r="AZ51" s="374"/>
      <c r="BC51" s="221"/>
      <c r="BD51" s="104"/>
      <c r="BE51" t="s">
        <v>404</v>
      </c>
      <c r="BP51" s="6" t="s">
        <v>129</v>
      </c>
      <c r="CI51"/>
      <c r="CJ51"/>
      <c r="CK51" s="23"/>
      <c r="CM51" s="12"/>
      <c r="DM51" s="25"/>
      <c r="DN51" s="363"/>
      <c r="DP51" s="79"/>
      <c r="DQ51" s="276"/>
      <c r="DR51" s="79"/>
      <c r="EI51" s="363"/>
      <c r="EJ51" s="2">
        <f t="shared" si="73"/>
        <v>40817</v>
      </c>
      <c r="FC51" s="129">
        <f>EJ22</f>
        <v>145.15542888021184</v>
      </c>
      <c r="FD51" s="13">
        <f>FC51*(1-FC$32)*EXP($BW$38*15)</f>
        <v>132.6261153564333</v>
      </c>
      <c r="FE51" s="13">
        <f>FD51*(1-FD$32)*EXP($BW$38*15)</f>
        <v>121.17828875042406</v>
      </c>
      <c r="FF51" s="13">
        <f>FE51*(1-FE$32)*EXP($BW$38*15)</f>
        <v>110.71859885978982</v>
      </c>
      <c r="FG51" s="131">
        <f>FF51*(1-FF$32)*EXP($BW$38*15)</f>
        <v>101.16175314806262</v>
      </c>
      <c r="FH51" s="131">
        <f>FG51*(1-FG$32)*EXP($BW$38*15)</f>
        <v>92.429821234905248</v>
      </c>
    </row>
    <row r="52" spans="2:164">
      <c r="AZ52" s="374"/>
      <c r="BC52" s="374"/>
      <c r="BQ52" s="7"/>
      <c r="BR52" s="7"/>
      <c r="BV52" t="s">
        <v>192</v>
      </c>
      <c r="BW52" t="s">
        <v>193</v>
      </c>
      <c r="BX52" t="s">
        <v>194</v>
      </c>
      <c r="CI52"/>
      <c r="CJ52"/>
      <c r="CK52" s="23"/>
      <c r="CM52" s="12"/>
      <c r="DM52" s="25"/>
      <c r="DP52" s="79"/>
      <c r="DQ52" s="276"/>
      <c r="DR52" s="79"/>
      <c r="EI52" s="363"/>
      <c r="EJ52" s="2">
        <f t="shared" si="73"/>
        <v>40831</v>
      </c>
      <c r="FD52" s="129">
        <f>EJ23</f>
        <v>105.41726701226656</v>
      </c>
      <c r="FE52" s="13">
        <f>FD52*(1-FD$32)*EXP($BW$38*15)</f>
        <v>96.318013891623394</v>
      </c>
      <c r="FF52" s="13">
        <f>FE52*(1-FE$32)*EXP($BW$38*15)</f>
        <v>88.004176763067179</v>
      </c>
      <c r="FG52" s="13">
        <f>FF52*(1-FF$32)*EXP($BW$38*15)</f>
        <v>80.407961240350275</v>
      </c>
      <c r="FH52" s="131">
        <f>FG52*(1-FG$32)*EXP($BW$38*15)</f>
        <v>73.467424713675996</v>
      </c>
    </row>
    <row r="53" spans="2:164">
      <c r="AK53" s="191"/>
      <c r="AL53" s="191"/>
      <c r="AM53" s="191"/>
      <c r="AZ53" s="374"/>
      <c r="BC53" s="374"/>
      <c r="BE53" s="174"/>
      <c r="BF53" s="174"/>
      <c r="BG53" s="174"/>
      <c r="BH53" s="174"/>
      <c r="BM53" s="49"/>
      <c r="BN53" s="5"/>
      <c r="BP53" t="s">
        <v>195</v>
      </c>
      <c r="BQ53" s="374">
        <f>BQ29</f>
        <v>1.3774999999999999</v>
      </c>
      <c r="BR53" t="s">
        <v>196</v>
      </c>
      <c r="BV53">
        <v>0</v>
      </c>
      <c r="BW53" s="163">
        <f>BV53+12</f>
        <v>12</v>
      </c>
      <c r="BX53" s="23">
        <f>$BQ$57/BW53</f>
        <v>2.6536295761255119E-2</v>
      </c>
      <c r="CI53"/>
      <c r="CJ53"/>
      <c r="CK53" s="23"/>
      <c r="CM53" s="12"/>
      <c r="DM53" s="25"/>
      <c r="DN53" s="363"/>
      <c r="DP53" s="79"/>
      <c r="DQ53" s="276"/>
      <c r="DR53" s="79"/>
      <c r="EI53" s="363"/>
      <c r="EJ53" s="2">
        <f t="shared" si="73"/>
        <v>40848</v>
      </c>
      <c r="FE53" s="129">
        <f>EJ24</f>
        <v>0</v>
      </c>
      <c r="FF53" s="13">
        <f>FE53*(1-FE$32)*EXP($BW$38*15)</f>
        <v>0</v>
      </c>
      <c r="FG53" s="13">
        <f>FF53*(1-FF$32)*EXP($BW$38*15)</f>
        <v>0</v>
      </c>
      <c r="FH53" s="13">
        <f>FG53*(1-FG$32)*EXP($BW$38*15)</f>
        <v>0</v>
      </c>
    </row>
    <row r="54" spans="2:164" ht="16.19" customHeight="1">
      <c r="AZ54" s="374"/>
      <c r="BC54" s="374"/>
      <c r="BP54" t="s">
        <v>197</v>
      </c>
      <c r="BQ54" s="37">
        <f>BQ30</f>
        <v>0.7</v>
      </c>
      <c r="BR54" t="s">
        <v>198</v>
      </c>
      <c r="BV54">
        <v>1</v>
      </c>
      <c r="BW54" s="163">
        <f t="shared" ref="BW54:BW68" si="77">BV54+12</f>
        <v>13</v>
      </c>
      <c r="BX54" s="23">
        <f t="shared" ref="BX54:BX68" si="78">$BQ$57/BW54</f>
        <v>2.4495042241158574E-2</v>
      </c>
      <c r="CI54"/>
      <c r="CJ54"/>
      <c r="CK54" s="23"/>
      <c r="CM54" s="12"/>
      <c r="DM54" s="25"/>
      <c r="DP54"/>
      <c r="DQ54" s="374"/>
      <c r="DR54"/>
      <c r="EJ54" s="2">
        <f t="shared" si="73"/>
        <v>40862</v>
      </c>
      <c r="FF54" s="129">
        <f>EJ25</f>
        <v>0</v>
      </c>
      <c r="FG54" s="13">
        <f>FF54*(1-FF$32)*EXP($BW$38*15)</f>
        <v>0</v>
      </c>
      <c r="FH54" s="13">
        <f>FG54*(1-FG$32)*EXP($BW$38*15)</f>
        <v>0</v>
      </c>
    </row>
    <row r="55" spans="2:164" ht="16.19" customHeight="1">
      <c r="AG55" s="403" t="s">
        <v>124</v>
      </c>
      <c r="AH55" s="403"/>
      <c r="AI55" t="s">
        <v>199</v>
      </c>
      <c r="AN55" s="6"/>
      <c r="AP55" s="6"/>
      <c r="AZ55" s="353">
        <f>(LN(BB21/BB11))/(BA21-BA11)</f>
        <v>1.0407314225556562E-2</v>
      </c>
      <c r="BC55" s="374"/>
      <c r="BO55" s="49"/>
      <c r="BP55" t="s">
        <v>197</v>
      </c>
      <c r="BQ55" s="87">
        <v>0.7</v>
      </c>
      <c r="BR55" t="s">
        <v>200</v>
      </c>
      <c r="BV55">
        <v>2</v>
      </c>
      <c r="BW55" s="163">
        <f t="shared" si="77"/>
        <v>14</v>
      </c>
      <c r="BX55" s="23">
        <f t="shared" si="78"/>
        <v>2.2745396366790103E-2</v>
      </c>
      <c r="CI55"/>
      <c r="CJ55"/>
      <c r="CK55" s="23"/>
      <c r="CM55" s="12"/>
      <c r="DM55" s="25"/>
      <c r="EJ55" s="2">
        <f t="shared" si="73"/>
        <v>40878</v>
      </c>
      <c r="FG55" s="129">
        <f>EJ26</f>
        <v>0</v>
      </c>
      <c r="FH55" s="13">
        <f>FG55*(1-FG$32)*EXP($BW$38*15)</f>
        <v>0</v>
      </c>
    </row>
    <row r="56" spans="2:164">
      <c r="AG56" s="6" t="s">
        <v>201</v>
      </c>
      <c r="AK56" s="191"/>
      <c r="AZ56" s="374"/>
      <c r="BC56" s="374"/>
      <c r="BK56" s="191"/>
      <c r="BL56" s="191"/>
      <c r="BM56" s="191"/>
      <c r="BN56" s="191"/>
      <c r="BO56" s="49"/>
      <c r="BP56" t="s">
        <v>202</v>
      </c>
      <c r="BQ56" s="69">
        <f>(1+($BQ$53*$BQ$54))*$BQ$55</f>
        <v>1.3749749999999998</v>
      </c>
      <c r="BR56" s="69"/>
      <c r="BV56">
        <v>3</v>
      </c>
      <c r="BW56" s="163">
        <f t="shared" si="77"/>
        <v>15</v>
      </c>
      <c r="BX56" s="23">
        <f t="shared" si="78"/>
        <v>2.1229036609004097E-2</v>
      </c>
      <c r="CI56"/>
      <c r="CJ56"/>
      <c r="CK56" s="23"/>
      <c r="DM56" s="25"/>
      <c r="EJ56" s="2">
        <f t="shared" si="73"/>
        <v>40892</v>
      </c>
      <c r="EP56" s="368"/>
      <c r="FH56" s="129">
        <f>EJ27</f>
        <v>0</v>
      </c>
    </row>
    <row r="57" spans="2:164" ht="16.19" customHeight="1">
      <c r="AG57" t="s">
        <v>203</v>
      </c>
      <c r="AN57" s="352"/>
      <c r="AZ57" s="374"/>
      <c r="BC57" s="374"/>
      <c r="BK57" s="191"/>
      <c r="BL57" s="191"/>
      <c r="BM57" s="191"/>
      <c r="BN57" s="191"/>
      <c r="BP57" s="5" t="s">
        <v>204</v>
      </c>
      <c r="BQ57">
        <f>LN(BQ56)</f>
        <v>0.31843554913506145</v>
      </c>
      <c r="BV57">
        <v>4</v>
      </c>
      <c r="BW57" s="163">
        <f t="shared" si="77"/>
        <v>16</v>
      </c>
      <c r="BX57" s="23">
        <f t="shared" si="78"/>
        <v>1.990222182094134E-2</v>
      </c>
      <c r="CI57"/>
      <c r="CJ57"/>
      <c r="CK57" s="23"/>
      <c r="DM57" s="25"/>
      <c r="EJ57" s="132" t="s">
        <v>205</v>
      </c>
      <c r="EK57" s="132"/>
      <c r="EL57" s="132"/>
      <c r="EM57" s="132"/>
      <c r="EN57" s="132"/>
      <c r="EO57" s="132"/>
      <c r="EP57" s="133">
        <f>SUM(EP33)</f>
        <v>63.67644803087736</v>
      </c>
      <c r="EQ57" s="133">
        <f>SUM(EQ33:EQ34)</f>
        <v>58.18011773435191</v>
      </c>
      <c r="ER57" s="133">
        <f>SUM(ER33:ER35)</f>
        <v>53.158211619179269</v>
      </c>
      <c r="ES57" s="133">
        <f>SUM(ES33:ES36)</f>
        <v>61.120460888049024</v>
      </c>
      <c r="ET57" s="133">
        <f>SUM(ET33:ET37)</f>
        <v>55.844754542844555</v>
      </c>
      <c r="EU57" s="133">
        <f>SUM(EU33:EU38)</f>
        <v>72.262086892113203</v>
      </c>
      <c r="EV57" s="133">
        <f>SUM(EV33:EV39)</f>
        <v>66.024674006226704</v>
      </c>
      <c r="EW57" s="133">
        <f>SUM(EW33:EW40)</f>
        <v>60.325652982273404</v>
      </c>
      <c r="EX57" s="133">
        <f>SUM(EX33:EX41)</f>
        <v>78.460784817085809</v>
      </c>
      <c r="EY57" s="133">
        <f>SUM(EY33:EY42)</f>
        <v>97.628891278014834</v>
      </c>
      <c r="EZ57" s="133">
        <f>SUM(EZ33:EZ43)</f>
        <v>118.59559779375206</v>
      </c>
      <c r="FA57" s="133">
        <f>SUM(FA33:FA44)</f>
        <v>150.36675382340852</v>
      </c>
      <c r="FB57" s="133">
        <f>SUM(FB33:FB45)</f>
        <v>181.76196675496379</v>
      </c>
      <c r="FC57" s="133">
        <f>SUM(FC33:FC46)</f>
        <v>223.28036848032423</v>
      </c>
      <c r="FD57" s="133">
        <f>SUM(FD33:FD47)</f>
        <v>277.90684988516608</v>
      </c>
      <c r="FE57" s="133">
        <f>SUM(FE33:FE48)</f>
        <v>346.57656284985825</v>
      </c>
      <c r="FF57" s="133">
        <f>SUM(FF33:FF49)</f>
        <v>427.09021870554864</v>
      </c>
      <c r="FG57" s="133">
        <f>SUM(FG33:FG50)</f>
        <v>515.9588794691856</v>
      </c>
      <c r="FH57" s="133">
        <f>SUM(FH33:FH51)</f>
        <v>563.85291850071394</v>
      </c>
    </row>
    <row r="58" spans="2:164">
      <c r="AG58" t="s">
        <v>206</v>
      </c>
      <c r="AZ58" s="374"/>
      <c r="BC58" s="374"/>
      <c r="BP58" s="5" t="s">
        <v>207</v>
      </c>
      <c r="BQ58" s="6">
        <f>BQ57/12</f>
        <v>2.6536295761255119E-2</v>
      </c>
      <c r="BV58">
        <v>5</v>
      </c>
      <c r="BW58" s="163">
        <f t="shared" si="77"/>
        <v>17</v>
      </c>
      <c r="BX58" s="66">
        <f t="shared" si="78"/>
        <v>1.8731502890297732E-2</v>
      </c>
      <c r="BY58" s="413" t="s">
        <v>208</v>
      </c>
      <c r="CI58"/>
      <c r="CJ58"/>
      <c r="CK58" s="23"/>
      <c r="EJ58" t="s">
        <v>209</v>
      </c>
      <c r="EK58" s="13">
        <f t="shared" ref="EK58:FH58" si="79">SUM(EK33:EK56)</f>
        <v>100</v>
      </c>
      <c r="EL58" s="13">
        <f t="shared" si="79"/>
        <v>91.368346592039458</v>
      </c>
      <c r="EM58" s="13">
        <f t="shared" si="79"/>
        <v>83.481747589630487</v>
      </c>
      <c r="EN58" s="13">
        <f t="shared" si="79"/>
        <v>95.985977198996864</v>
      </c>
      <c r="EO58" s="13">
        <f t="shared" si="79"/>
        <v>87.700800326935422</v>
      </c>
      <c r="EP58" s="13">
        <f t="shared" si="79"/>
        <v>113.48322515896706</v>
      </c>
      <c r="EQ58" s="13">
        <f t="shared" si="79"/>
        <v>103.68774648706956</v>
      </c>
      <c r="ER58" s="13">
        <f t="shared" si="79"/>
        <v>94.737779583780934</v>
      </c>
      <c r="ES58" s="13">
        <f t="shared" si="79"/>
        <v>123.2179043326025</v>
      </c>
      <c r="ET58" s="13">
        <f t="shared" si="79"/>
        <v>153.32025308741086</v>
      </c>
      <c r="EU58" s="13">
        <f t="shared" si="79"/>
        <v>186.24719415292111</v>
      </c>
      <c r="EV58" s="13">
        <f t="shared" si="79"/>
        <v>236.14186794856107</v>
      </c>
      <c r="EW58" s="13">
        <f t="shared" si="79"/>
        <v>285.44614590755054</v>
      </c>
      <c r="EX58" s="13">
        <f t="shared" si="79"/>
        <v>350.64827795051212</v>
      </c>
      <c r="EY58" s="13">
        <f t="shared" si="79"/>
        <v>436.43585419589709</v>
      </c>
      <c r="EZ58" s="13">
        <f t="shared" si="79"/>
        <v>544.27747395991651</v>
      </c>
      <c r="FA58" s="13">
        <f t="shared" si="79"/>
        <v>670.71928776311177</v>
      </c>
      <c r="FB58" s="13">
        <f t="shared" si="79"/>
        <v>810.28213008833632</v>
      </c>
      <c r="FC58" s="13">
        <f t="shared" si="79"/>
        <v>885.49681387268311</v>
      </c>
      <c r="FD58" s="13">
        <f t="shared" si="79"/>
        <v>914.48106497292633</v>
      </c>
      <c r="FE58" s="13">
        <f t="shared" si="79"/>
        <v>835.54622896303681</v>
      </c>
      <c r="FF58" s="13">
        <f t="shared" si="79"/>
        <v>763.42477441566314</v>
      </c>
      <c r="FG58" s="13">
        <f t="shared" si="79"/>
        <v>697.52859385759848</v>
      </c>
      <c r="FH58" s="13">
        <f t="shared" si="79"/>
        <v>637.32034321438994</v>
      </c>
    </row>
    <row r="59" spans="2:164">
      <c r="AN59" s="6"/>
      <c r="AO59" s="6"/>
      <c r="AP59" s="6"/>
      <c r="AZ59" s="374"/>
      <c r="BC59" s="374"/>
      <c r="BP59" s="5" t="s">
        <v>210</v>
      </c>
      <c r="BQ59">
        <f>BQ57/17</f>
        <v>1.8731502890297732E-2</v>
      </c>
      <c r="BV59">
        <v>6</v>
      </c>
      <c r="BW59" s="163">
        <f t="shared" si="77"/>
        <v>18</v>
      </c>
      <c r="BX59" s="66">
        <f t="shared" si="78"/>
        <v>1.7690863840836749E-2</v>
      </c>
      <c r="BY59" s="413"/>
      <c r="CI59"/>
      <c r="CJ59"/>
      <c r="CK59" s="23"/>
      <c r="EJ59" t="s">
        <v>211</v>
      </c>
      <c r="EK59" s="31">
        <f t="shared" ref="EK59:FH59" si="80">IF(EK58=0,0,IF(EK57/EK58=1,0.99,EK57/EK58))</f>
        <v>0</v>
      </c>
      <c r="EL59" s="31">
        <f t="shared" si="80"/>
        <v>0</v>
      </c>
      <c r="EM59" s="31">
        <f t="shared" si="80"/>
        <v>0</v>
      </c>
      <c r="EN59" s="31">
        <f t="shared" si="80"/>
        <v>0</v>
      </c>
      <c r="EO59" s="31">
        <f t="shared" si="80"/>
        <v>0</v>
      </c>
      <c r="EP59" s="31">
        <f t="shared" si="80"/>
        <v>0.56110890346727038</v>
      </c>
      <c r="EQ59" s="31">
        <f t="shared" si="80"/>
        <v>0.56110890346727027</v>
      </c>
      <c r="ER59" s="31">
        <f t="shared" si="80"/>
        <v>0.56110890346727027</v>
      </c>
      <c r="ES59" s="31">
        <f t="shared" si="80"/>
        <v>0.49603554953398948</v>
      </c>
      <c r="ET59" s="31">
        <f t="shared" si="80"/>
        <v>0.36423599242956095</v>
      </c>
      <c r="EU59" s="31">
        <f t="shared" si="80"/>
        <v>0.38799020420560704</v>
      </c>
      <c r="EV59" s="31">
        <f t="shared" si="80"/>
        <v>0.27959749187979194</v>
      </c>
      <c r="EW59" s="31">
        <f t="shared" si="80"/>
        <v>0.21133812401100521</v>
      </c>
      <c r="EX59" s="31">
        <f t="shared" si="80"/>
        <v>0.22375921899767373</v>
      </c>
      <c r="EY59" s="31">
        <f t="shared" si="80"/>
        <v>0.22369585436074982</v>
      </c>
      <c r="EZ59" s="31">
        <f t="shared" si="80"/>
        <v>0.21789547329766229</v>
      </c>
      <c r="FA59" s="31">
        <f t="shared" si="80"/>
        <v>0.22418731139354955</v>
      </c>
      <c r="FB59" s="31">
        <f t="shared" si="80"/>
        <v>0.22431935742572559</v>
      </c>
      <c r="FC59" s="31">
        <f t="shared" si="80"/>
        <v>0.25215265033401635</v>
      </c>
      <c r="FD59" s="31">
        <f t="shared" si="80"/>
        <v>0.30389568524679478</v>
      </c>
      <c r="FE59" s="31">
        <f t="shared" si="80"/>
        <v>0.41479040995730498</v>
      </c>
      <c r="FF59" s="31">
        <f t="shared" si="80"/>
        <v>0.5594398204229748</v>
      </c>
      <c r="FG59" s="31">
        <f t="shared" si="80"/>
        <v>0.73969566841086287</v>
      </c>
      <c r="FH59" s="31">
        <f t="shared" si="80"/>
        <v>0.88472449452478552</v>
      </c>
    </row>
    <row r="60" spans="2:164" ht="16.19" customHeight="1">
      <c r="AG60" s="354" t="s">
        <v>212</v>
      </c>
      <c r="AH60" s="140" t="s">
        <v>213</v>
      </c>
      <c r="AW60" s="44" t="s">
        <v>214</v>
      </c>
      <c r="AX60" s="44"/>
      <c r="AY60" s="319"/>
      <c r="AZ60" s="374"/>
      <c r="BB60" s="5"/>
      <c r="BC60" s="374"/>
      <c r="BV60">
        <v>7</v>
      </c>
      <c r="BW60" s="163">
        <f t="shared" si="77"/>
        <v>19</v>
      </c>
      <c r="BX60" s="66">
        <f t="shared" si="78"/>
        <v>1.6759765743950602E-2</v>
      </c>
      <c r="BY60" s="413"/>
      <c r="EJ60" s="16"/>
    </row>
    <row r="61" spans="2:164">
      <c r="AG61" s="23">
        <v>2.4E-2</v>
      </c>
      <c r="AH61" s="14">
        <f>(LN(2))/AG61</f>
        <v>28.881132523331054</v>
      </c>
      <c r="AN61" s="191"/>
      <c r="AX61" s="5" t="s">
        <v>215</v>
      </c>
      <c r="AZ61" s="374" t="s">
        <v>216</v>
      </c>
      <c r="BA61" s="55" t="s">
        <v>217</v>
      </c>
      <c r="BB61" s="5"/>
      <c r="BC61" s="374"/>
      <c r="BP61" s="6" t="s">
        <v>137</v>
      </c>
      <c r="BS61" s="352"/>
      <c r="BV61">
        <v>8</v>
      </c>
      <c r="BW61" s="163">
        <f t="shared" si="77"/>
        <v>20</v>
      </c>
      <c r="BX61" s="66">
        <f t="shared" si="78"/>
        <v>1.5921777456753071E-2</v>
      </c>
      <c r="BY61" s="413"/>
    </row>
    <row r="62" spans="2:164">
      <c r="AG62" s="23">
        <f t="shared" ref="AG62:AG83" si="81">AG61-0.001</f>
        <v>2.3E-2</v>
      </c>
      <c r="AH62" s="14">
        <f t="shared" ref="AH62:AH83" si="82">(LN(2))/AG62</f>
        <v>30.136833937388925</v>
      </c>
      <c r="AZ62" s="374"/>
      <c r="BC62" s="374"/>
      <c r="BO62" s="414" t="s">
        <v>218</v>
      </c>
      <c r="BP62" s="69" t="s">
        <v>195</v>
      </c>
      <c r="BQ62" s="374">
        <f>BQ31</f>
        <v>3.5</v>
      </c>
      <c r="BR62" t="s">
        <v>196</v>
      </c>
      <c r="BS62" s="352"/>
      <c r="BV62">
        <v>9</v>
      </c>
      <c r="BW62" s="163">
        <f t="shared" si="77"/>
        <v>21</v>
      </c>
      <c r="BX62" s="66">
        <f t="shared" si="78"/>
        <v>1.516359757786007E-2</v>
      </c>
      <c r="BY62" s="413"/>
    </row>
    <row r="63" spans="2:164">
      <c r="AG63" s="23">
        <f t="shared" si="81"/>
        <v>2.1999999999999999E-2</v>
      </c>
      <c r="AH63" s="14">
        <f t="shared" si="82"/>
        <v>31.506690025452059</v>
      </c>
      <c r="AX63" s="5"/>
      <c r="AZ63" s="374"/>
      <c r="BA63" s="30"/>
      <c r="BC63" s="374"/>
      <c r="BO63" s="414"/>
      <c r="BP63" s="69" t="s">
        <v>197</v>
      </c>
      <c r="BQ63" s="38">
        <f>BQ32</f>
        <v>0.7</v>
      </c>
      <c r="BR63" t="s">
        <v>219</v>
      </c>
      <c r="BS63" s="40"/>
      <c r="BV63">
        <v>10</v>
      </c>
      <c r="BW63" s="163">
        <f t="shared" si="77"/>
        <v>22</v>
      </c>
      <c r="BX63" s="66">
        <f t="shared" si="78"/>
        <v>1.4474343142502793E-2</v>
      </c>
      <c r="BY63" s="413"/>
    </row>
    <row r="64" spans="2:164">
      <c r="AG64" s="23">
        <f t="shared" si="81"/>
        <v>2.0999999999999998E-2</v>
      </c>
      <c r="AH64" s="14">
        <f t="shared" si="82"/>
        <v>33.007008598092639</v>
      </c>
      <c r="AU64" s="56"/>
      <c r="AV64" s="56"/>
      <c r="AX64" s="83" t="s">
        <v>220</v>
      </c>
      <c r="AY64" s="320"/>
      <c r="AZ64" s="374">
        <v>1993</v>
      </c>
      <c r="BA64" s="28">
        <v>3.0571428571428572E-2</v>
      </c>
      <c r="BC64" s="374"/>
      <c r="BO64" s="414"/>
      <c r="BP64" s="69" t="s">
        <v>221</v>
      </c>
      <c r="BQ64" s="374">
        <v>0.7</v>
      </c>
      <c r="BR64" t="s">
        <v>200</v>
      </c>
      <c r="BV64">
        <v>11</v>
      </c>
      <c r="BW64" s="163">
        <f t="shared" si="77"/>
        <v>23</v>
      </c>
      <c r="BX64" s="66">
        <f t="shared" si="78"/>
        <v>1.3845023875437455E-2</v>
      </c>
      <c r="BY64" s="413"/>
    </row>
    <row r="65" spans="33:149">
      <c r="AG65" s="23">
        <f t="shared" si="81"/>
        <v>1.9999999999999997E-2</v>
      </c>
      <c r="AH65" s="14">
        <f t="shared" si="82"/>
        <v>34.657359027997266</v>
      </c>
      <c r="AU65" s="359"/>
      <c r="AV65" s="359"/>
      <c r="AX65" s="83" t="s">
        <v>222</v>
      </c>
      <c r="AY65" s="320"/>
      <c r="AZ65" s="374">
        <v>2007</v>
      </c>
      <c r="BA65" s="28">
        <v>2.7285714285714285E-2</v>
      </c>
      <c r="BC65" s="374"/>
      <c r="BP65" t="s">
        <v>202</v>
      </c>
      <c r="BQ65">
        <f>(1+(BQ62*BQ63))*BQ64</f>
        <v>2.4149999999999996</v>
      </c>
      <c r="BV65">
        <v>12</v>
      </c>
      <c r="BW65" s="163">
        <f t="shared" si="77"/>
        <v>24</v>
      </c>
      <c r="BX65" s="66">
        <f t="shared" si="78"/>
        <v>1.326814788062756E-2</v>
      </c>
      <c r="BY65" s="413"/>
    </row>
    <row r="66" spans="33:149">
      <c r="AG66" s="23">
        <f t="shared" si="81"/>
        <v>1.8999999999999996E-2</v>
      </c>
      <c r="AH66" s="14">
        <f t="shared" si="82"/>
        <v>36.481430555786602</v>
      </c>
      <c r="AR66" s="213"/>
      <c r="AS66" s="213"/>
      <c r="AT66" s="213"/>
      <c r="AU66" s="214"/>
      <c r="AV66" s="214"/>
      <c r="AW66" s="213"/>
      <c r="AX66" s="215" t="s">
        <v>223</v>
      </c>
      <c r="AY66" s="321"/>
      <c r="AZ66" s="374"/>
      <c r="BA66" s="30">
        <v>2.3E-2</v>
      </c>
      <c r="BC66" s="374"/>
      <c r="BP66" s="5" t="s">
        <v>204</v>
      </c>
      <c r="BQ66">
        <f>LN(BQ65)</f>
        <v>0.88169928710453582</v>
      </c>
      <c r="BV66">
        <v>13</v>
      </c>
      <c r="BW66" s="163">
        <f t="shared" si="77"/>
        <v>25</v>
      </c>
      <c r="BX66" s="66">
        <f t="shared" si="78"/>
        <v>1.2737421965402458E-2</v>
      </c>
      <c r="BY66" s="413"/>
    </row>
    <row r="67" spans="33:149">
      <c r="AG67" s="23">
        <f t="shared" si="81"/>
        <v>1.7999999999999995E-2</v>
      </c>
      <c r="AH67" s="14">
        <f t="shared" si="82"/>
        <v>38.508176697774751</v>
      </c>
      <c r="AU67" s="359"/>
      <c r="AV67" s="359"/>
      <c r="AX67" s="83" t="s">
        <v>224</v>
      </c>
      <c r="AY67" s="320"/>
      <c r="AZ67" s="374">
        <v>1999</v>
      </c>
      <c r="BA67" s="28">
        <v>2.2936022002005126E-2</v>
      </c>
      <c r="BC67" s="374"/>
      <c r="BP67" s="5" t="s">
        <v>207</v>
      </c>
      <c r="BQ67" s="6">
        <f>BQ66/15</f>
        <v>5.8779952473635724E-2</v>
      </c>
      <c r="BV67">
        <v>14</v>
      </c>
      <c r="BW67" s="163">
        <f t="shared" si="77"/>
        <v>26</v>
      </c>
      <c r="BX67" s="66">
        <f t="shared" si="78"/>
        <v>1.2247521120579287E-2</v>
      </c>
      <c r="BY67" s="413"/>
      <c r="CE67" s="26"/>
      <c r="CF67" s="26"/>
    </row>
    <row r="68" spans="33:149" ht="16" customHeight="1">
      <c r="AG68" s="23">
        <f t="shared" si="81"/>
        <v>1.6999999999999994E-2</v>
      </c>
      <c r="AH68" s="14">
        <f t="shared" si="82"/>
        <v>40.773363562349736</v>
      </c>
      <c r="AV68" s="49"/>
      <c r="AW68" s="49"/>
      <c r="AX68" s="83" t="s">
        <v>225</v>
      </c>
      <c r="AY68" s="320"/>
      <c r="AZ68" s="374">
        <v>2002</v>
      </c>
      <c r="BA68" s="28">
        <v>2.2714285714285715E-2</v>
      </c>
      <c r="BC68" s="374"/>
      <c r="BP68" s="5"/>
      <c r="BV68">
        <v>15</v>
      </c>
      <c r="BW68" s="163">
        <f t="shared" si="77"/>
        <v>27</v>
      </c>
      <c r="BX68" s="66">
        <f t="shared" si="78"/>
        <v>1.1793909227224498E-2</v>
      </c>
      <c r="BY68" s="413"/>
      <c r="BZ68"/>
      <c r="CA68"/>
      <c r="CB68"/>
      <c r="CE68" s="26"/>
      <c r="CF68" s="26"/>
    </row>
    <row r="69" spans="33:149" ht="16" customHeight="1">
      <c r="AG69" s="23">
        <f t="shared" si="81"/>
        <v>1.5999999999999993E-2</v>
      </c>
      <c r="AH69" s="14">
        <f t="shared" si="82"/>
        <v>43.321698784996599</v>
      </c>
      <c r="AU69" s="49"/>
      <c r="AV69" s="49"/>
      <c r="AW69" s="49"/>
      <c r="AX69" s="83" t="s">
        <v>226</v>
      </c>
      <c r="AY69" s="320"/>
      <c r="AZ69" s="374">
        <v>1994</v>
      </c>
      <c r="BA69" s="216">
        <v>2.1428571428571429E-2</v>
      </c>
      <c r="BB69" s="415" t="s">
        <v>227</v>
      </c>
      <c r="BC69" s="374"/>
      <c r="CE69" s="26"/>
      <c r="CF69" s="26"/>
    </row>
    <row r="70" spans="33:149" ht="16" customHeight="1">
      <c r="AG70" s="23">
        <f t="shared" si="81"/>
        <v>1.4999999999999993E-2</v>
      </c>
      <c r="AH70" s="14">
        <f t="shared" si="82"/>
        <v>46.209812037329712</v>
      </c>
      <c r="AU70" s="49"/>
      <c r="AV70" s="49"/>
      <c r="AW70" s="49"/>
      <c r="AX70" s="83" t="s">
        <v>228</v>
      </c>
      <c r="AY70" s="320"/>
      <c r="AZ70" s="165">
        <v>1997</v>
      </c>
      <c r="BA70" s="217">
        <v>2.1428571428571429E-2</v>
      </c>
      <c r="BB70" s="415"/>
      <c r="BC70" s="374"/>
      <c r="BP70" s="6" t="s">
        <v>229</v>
      </c>
      <c r="BQ70" s="6"/>
      <c r="BR70" s="6"/>
      <c r="BS70" s="6"/>
      <c r="BT70" s="6"/>
      <c r="CE70" s="26"/>
      <c r="CF70" s="26"/>
    </row>
    <row r="71" spans="33:149" ht="16" customHeight="1">
      <c r="AG71" s="23">
        <f t="shared" si="81"/>
        <v>1.3999999999999992E-2</v>
      </c>
      <c r="AH71" s="14">
        <f t="shared" si="82"/>
        <v>49.51051289713898</v>
      </c>
      <c r="AV71" s="126"/>
      <c r="AW71" s="126"/>
      <c r="AX71" s="5" t="s">
        <v>230</v>
      </c>
      <c r="AZ71" s="374">
        <v>1999</v>
      </c>
      <c r="BA71" s="218">
        <v>2.1000000000000001E-2</v>
      </c>
      <c r="BB71" s="415"/>
      <c r="BC71" s="374"/>
      <c r="BP71" s="53">
        <v>5.0000000000000001E-3</v>
      </c>
      <c r="BQ71" t="s">
        <v>231</v>
      </c>
      <c r="BR71" s="41">
        <f>1-BP71</f>
        <v>0.995</v>
      </c>
      <c r="BS71" t="s">
        <v>232</v>
      </c>
      <c r="BU71" t="s">
        <v>233</v>
      </c>
      <c r="CE71" s="26"/>
      <c r="CF71" s="26"/>
      <c r="ES71" s="14"/>
    </row>
    <row r="72" spans="33:149">
      <c r="AG72" s="23">
        <f t="shared" si="81"/>
        <v>1.2999999999999991E-2</v>
      </c>
      <c r="AH72" s="14">
        <f t="shared" si="82"/>
        <v>53.319013889226596</v>
      </c>
      <c r="AU72" s="126"/>
      <c r="AV72" s="126"/>
      <c r="AW72" s="126"/>
      <c r="AX72" s="83" t="s">
        <v>222</v>
      </c>
      <c r="AY72" s="320"/>
      <c r="AZ72" s="374">
        <v>2007</v>
      </c>
      <c r="BA72" s="216">
        <v>2.0714285714285713E-2</v>
      </c>
      <c r="BB72" s="415"/>
      <c r="BC72" s="374"/>
      <c r="BP72">
        <f>LN(BR71)</f>
        <v>-5.0125418235442863E-3</v>
      </c>
      <c r="BQ72" t="s">
        <v>234</v>
      </c>
      <c r="CE72" s="26"/>
      <c r="CF72" s="26"/>
    </row>
    <row r="73" spans="33:149">
      <c r="AG73" s="23">
        <f t="shared" si="81"/>
        <v>1.199999999999999E-2</v>
      </c>
      <c r="AH73" s="14">
        <f t="shared" si="82"/>
        <v>57.762265046662158</v>
      </c>
      <c r="AU73" s="126"/>
      <c r="AV73" s="126"/>
      <c r="AW73" s="126"/>
      <c r="AX73" s="83" t="s">
        <v>235</v>
      </c>
      <c r="AY73" s="320"/>
      <c r="AZ73" s="374">
        <v>1996</v>
      </c>
      <c r="BA73" s="216">
        <v>1.9857142857142858E-2</v>
      </c>
      <c r="BB73" s="415"/>
      <c r="BC73" s="374"/>
      <c r="BP73" s="42">
        <f>100*EXP(BP72*100)</f>
        <v>60.577043649072792</v>
      </c>
      <c r="BQ73" s="43" t="s">
        <v>236</v>
      </c>
      <c r="BR73" s="43"/>
      <c r="BS73" s="43"/>
      <c r="CB73"/>
      <c r="CC73"/>
      <c r="CD73"/>
      <c r="CE73"/>
      <c r="CF73"/>
      <c r="CG73"/>
    </row>
    <row r="74" spans="33:149" ht="16" customHeight="1">
      <c r="AG74" s="23">
        <f t="shared" si="81"/>
        <v>1.0999999999999989E-2</v>
      </c>
      <c r="AH74" s="14">
        <f t="shared" si="82"/>
        <v>63.013380050904182</v>
      </c>
      <c r="AS74" s="6"/>
      <c r="AT74" s="6"/>
      <c r="AX74" s="83" t="s">
        <v>237</v>
      </c>
      <c r="AY74" s="320"/>
      <c r="AZ74" s="374">
        <v>2007</v>
      </c>
      <c r="BA74" s="216">
        <v>1.9571428571428573E-2</v>
      </c>
      <c r="BB74" s="415"/>
      <c r="BC74" s="374"/>
      <c r="BX74" s="416" t="s">
        <v>238</v>
      </c>
      <c r="BY74" s="416"/>
      <c r="BZ74" s="416"/>
      <c r="CA74" s="416"/>
      <c r="CB74" s="416"/>
      <c r="CC74" s="416"/>
      <c r="CD74"/>
      <c r="CE74"/>
      <c r="CF74"/>
      <c r="CG74"/>
    </row>
    <row r="75" spans="33:149">
      <c r="AG75" s="23">
        <f t="shared" si="81"/>
        <v>9.9999999999999881E-3</v>
      </c>
      <c r="AH75" s="14">
        <f t="shared" si="82"/>
        <v>69.314718055994618</v>
      </c>
      <c r="AX75" s="5" t="s">
        <v>239</v>
      </c>
      <c r="AZ75" s="374">
        <v>2016</v>
      </c>
      <c r="BA75" s="218">
        <v>1.9E-2</v>
      </c>
      <c r="BB75" s="415"/>
      <c r="BC75" s="374"/>
      <c r="BP75" s="6" t="s">
        <v>240</v>
      </c>
      <c r="BX75" s="416"/>
      <c r="BY75" s="416"/>
      <c r="BZ75" s="416"/>
      <c r="CA75" s="416"/>
      <c r="CB75" s="416"/>
      <c r="CC75" s="416"/>
    </row>
    <row r="76" spans="33:149">
      <c r="AG76" s="23">
        <f t="shared" si="81"/>
        <v>8.9999999999999872E-3</v>
      </c>
      <c r="AH76" s="14">
        <f t="shared" si="82"/>
        <v>77.016353395549586</v>
      </c>
      <c r="AX76" s="83" t="s">
        <v>241</v>
      </c>
      <c r="AY76" s="320"/>
      <c r="AZ76" s="374">
        <v>1995</v>
      </c>
      <c r="BA76" s="216">
        <v>1.8714285714285715E-2</v>
      </c>
      <c r="BB76" s="415"/>
      <c r="BC76" s="374"/>
      <c r="BP76" s="53">
        <v>0.01</v>
      </c>
      <c r="BQ76" t="s">
        <v>231</v>
      </c>
      <c r="BR76" s="41">
        <f>1-BP76</f>
        <v>0.99</v>
      </c>
      <c r="BS76" t="s">
        <v>232</v>
      </c>
      <c r="BX76" s="416"/>
      <c r="BY76" s="416"/>
      <c r="BZ76" s="416"/>
      <c r="CA76" s="416"/>
      <c r="CB76" s="416"/>
      <c r="CC76" s="416"/>
    </row>
    <row r="77" spans="33:149">
      <c r="AG77" s="23">
        <f t="shared" si="81"/>
        <v>7.9999999999999863E-3</v>
      </c>
      <c r="AH77" s="14">
        <f t="shared" si="82"/>
        <v>86.643397569993311</v>
      </c>
      <c r="AX77" s="83" t="s">
        <v>222</v>
      </c>
      <c r="AY77" s="320"/>
      <c r="AZ77" s="374">
        <v>2007</v>
      </c>
      <c r="BA77" s="216">
        <v>1.7428571428571429E-2</v>
      </c>
      <c r="BB77" s="415"/>
      <c r="BC77" s="374"/>
      <c r="BP77">
        <f>LN(BR76)</f>
        <v>-1.0050335853501451E-2</v>
      </c>
      <c r="BQ77" t="s">
        <v>234</v>
      </c>
      <c r="BX77" s="416"/>
      <c r="BY77" s="416"/>
      <c r="BZ77" s="416"/>
      <c r="CA77" s="416"/>
      <c r="CB77" s="416"/>
      <c r="CC77" s="416"/>
    </row>
    <row r="78" spans="33:149" ht="16" customHeight="1">
      <c r="AG78" s="23">
        <f t="shared" si="81"/>
        <v>6.9999999999999863E-3</v>
      </c>
      <c r="AH78" s="14">
        <f t="shared" si="82"/>
        <v>99.021025794278088</v>
      </c>
      <c r="AX78" s="5" t="s">
        <v>242</v>
      </c>
      <c r="AZ78" s="374">
        <v>2000</v>
      </c>
      <c r="BA78" s="218">
        <v>1.7000000000000001E-2</v>
      </c>
      <c r="BB78" s="415"/>
      <c r="BC78" s="374"/>
      <c r="BP78" s="205">
        <v>3</v>
      </c>
      <c r="BQ78" s="206">
        <v>19</v>
      </c>
      <c r="BR78" t="s">
        <v>243</v>
      </c>
      <c r="BU78">
        <f>BP78*BQ78</f>
        <v>57</v>
      </c>
      <c r="BV78" t="s">
        <v>244</v>
      </c>
      <c r="BX78" s="416"/>
      <c r="BY78" s="416"/>
      <c r="BZ78" s="416"/>
      <c r="CA78" s="416"/>
      <c r="CB78" s="416"/>
      <c r="CC78" s="416"/>
      <c r="CD78" s="27"/>
      <c r="CE78" s="27"/>
      <c r="CF78" s="27"/>
      <c r="CG78" s="27"/>
      <c r="CH78" s="27"/>
      <c r="CI78" s="27"/>
      <c r="CJ78" s="27"/>
      <c r="CK78" s="27"/>
      <c r="CL78" s="27"/>
      <c r="CM78" s="73"/>
    </row>
    <row r="79" spans="33:149">
      <c r="AG79" s="23">
        <f t="shared" si="81"/>
        <v>5.9999999999999862E-3</v>
      </c>
      <c r="AH79" s="14">
        <f t="shared" si="82"/>
        <v>115.52453009332447</v>
      </c>
      <c r="AX79" s="83" t="s">
        <v>245</v>
      </c>
      <c r="AY79" s="320"/>
      <c r="AZ79" s="374">
        <v>2002</v>
      </c>
      <c r="BA79" s="28">
        <v>1.3571428571428571E-2</v>
      </c>
      <c r="BC79" s="374"/>
      <c r="BP79" s="42">
        <f>100*EXP(BP77*BU78)</f>
        <v>56.390519045238761</v>
      </c>
      <c r="BQ79" s="43" t="s">
        <v>246</v>
      </c>
      <c r="BR79" s="43">
        <f>BU78</f>
        <v>57</v>
      </c>
      <c r="BS79" s="43" t="s">
        <v>247</v>
      </c>
      <c r="DP79" s="29"/>
      <c r="DQ79" s="166"/>
      <c r="DR79" s="29"/>
      <c r="DS79" s="28"/>
      <c r="DT79" s="28"/>
      <c r="DV79" s="30"/>
      <c r="DW79" s="28"/>
      <c r="EI79" s="17"/>
      <c r="EJ79" s="14"/>
    </row>
    <row r="80" spans="33:149" s="16" customFormat="1" ht="16" customHeight="1">
      <c r="AG80" s="23">
        <f t="shared" si="81"/>
        <v>4.9999999999999862E-3</v>
      </c>
      <c r="AH80" s="14">
        <f t="shared" si="82"/>
        <v>138.62943611198943</v>
      </c>
      <c r="AR80"/>
      <c r="AX80" s="83" t="s">
        <v>248</v>
      </c>
      <c r="AY80" s="320"/>
      <c r="AZ80" s="374">
        <v>1995</v>
      </c>
      <c r="BA80" s="28">
        <v>1.1428571428571429E-2</v>
      </c>
      <c r="BC80" s="165"/>
      <c r="BF80"/>
      <c r="BL80"/>
      <c r="BM80"/>
      <c r="BP80"/>
      <c r="BQ80"/>
      <c r="BR80"/>
      <c r="BS80"/>
      <c r="BT80"/>
      <c r="BX80" t="s">
        <v>249</v>
      </c>
      <c r="CE80" s="9"/>
      <c r="CF80" s="9"/>
      <c r="CG80" s="9"/>
      <c r="CN80"/>
      <c r="CO80"/>
      <c r="CP80"/>
      <c r="CQ80"/>
      <c r="CR80"/>
      <c r="CS80"/>
      <c r="CT80"/>
      <c r="CU80"/>
      <c r="CV80"/>
      <c r="CW80"/>
      <c r="CX80"/>
      <c r="CY80"/>
      <c r="CZ80"/>
      <c r="DA80"/>
      <c r="DB80"/>
      <c r="DC80"/>
      <c r="DD80"/>
      <c r="DE80"/>
      <c r="DF80"/>
      <c r="DG80"/>
      <c r="DH80"/>
      <c r="DI80"/>
      <c r="DJ80"/>
      <c r="DK80"/>
      <c r="DL80"/>
      <c r="DM80"/>
      <c r="DN80"/>
      <c r="DO80"/>
      <c r="DP80"/>
      <c r="DQ80" s="374"/>
      <c r="DR80"/>
      <c r="DS80"/>
      <c r="DT80"/>
      <c r="DU80"/>
      <c r="DV80" s="32"/>
      <c r="DX80"/>
      <c r="DY80"/>
      <c r="DZ80"/>
      <c r="EA80"/>
      <c r="EB80"/>
      <c r="EC80"/>
      <c r="ED80"/>
      <c r="EE80"/>
      <c r="EF80"/>
      <c r="EG80"/>
      <c r="EH80"/>
      <c r="EI80" s="33"/>
      <c r="EJ80" s="27"/>
    </row>
    <row r="81" spans="33:140">
      <c r="AG81" s="23">
        <f t="shared" si="81"/>
        <v>3.9999999999999862E-3</v>
      </c>
      <c r="AH81" s="14">
        <f t="shared" si="82"/>
        <v>173.28679513998691</v>
      </c>
      <c r="AX81" s="83" t="s">
        <v>250</v>
      </c>
      <c r="AY81" s="320"/>
      <c r="AZ81" s="374">
        <v>1999</v>
      </c>
      <c r="BA81" s="28">
        <v>1.035681555964402E-2</v>
      </c>
      <c r="BC81" s="374"/>
      <c r="BX81" s="352" t="s">
        <v>251</v>
      </c>
      <c r="CH81"/>
      <c r="DP81"/>
      <c r="DQ81" s="374"/>
      <c r="DR81"/>
      <c r="EI81" s="34"/>
      <c r="EJ81" s="14"/>
    </row>
    <row r="82" spans="33:140" ht="16" customHeight="1">
      <c r="AG82" s="23">
        <f t="shared" si="81"/>
        <v>2.9999999999999862E-3</v>
      </c>
      <c r="AH82" s="14">
        <f t="shared" si="82"/>
        <v>231.04906018664948</v>
      </c>
      <c r="AX82" s="5" t="s">
        <v>252</v>
      </c>
      <c r="AZ82" s="374">
        <v>2000</v>
      </c>
      <c r="BA82" s="28">
        <v>0.01</v>
      </c>
      <c r="BC82" s="374"/>
      <c r="BR82" s="14"/>
      <c r="CH82"/>
      <c r="DP82"/>
      <c r="DQ82" s="374"/>
      <c r="DR82"/>
    </row>
    <row r="83" spans="33:140">
      <c r="AG83" s="23">
        <f t="shared" si="81"/>
        <v>1.9999999999999862E-3</v>
      </c>
      <c r="AH83" s="14">
        <f t="shared" si="82"/>
        <v>346.57359027997506</v>
      </c>
      <c r="AX83" s="83" t="s">
        <v>237</v>
      </c>
      <c r="AY83" s="320"/>
      <c r="AZ83" s="374">
        <v>2007</v>
      </c>
      <c r="BA83" s="28">
        <v>8.7142857142857143E-3</v>
      </c>
      <c r="BC83" s="374"/>
      <c r="BH83" s="6"/>
      <c r="CE83" s="35"/>
      <c r="CF83" s="35"/>
      <c r="CG83" s="163"/>
      <c r="CH83" s="163"/>
      <c r="DP83"/>
      <c r="DQ83" s="374"/>
      <c r="DR83"/>
      <c r="EI83" s="17"/>
      <c r="EJ83" s="14"/>
    </row>
    <row r="84" spans="33:140">
      <c r="AX84" s="83" t="s">
        <v>253</v>
      </c>
      <c r="AY84" s="320"/>
      <c r="AZ84" s="374">
        <v>2001</v>
      </c>
      <c r="BA84" s="28">
        <v>6.7142857142857143E-3</v>
      </c>
      <c r="BC84" s="374"/>
      <c r="BS84" s="17"/>
      <c r="BT84" s="17"/>
      <c r="CH84"/>
      <c r="DP84"/>
      <c r="DQ84" s="374"/>
      <c r="DR84"/>
      <c r="EI84" s="17"/>
      <c r="EJ84" s="14"/>
    </row>
    <row r="85" spans="33:140">
      <c r="AX85" s="83" t="s">
        <v>254</v>
      </c>
      <c r="AY85" s="320"/>
      <c r="AZ85" s="374">
        <v>1999</v>
      </c>
      <c r="BA85" s="28">
        <v>4.7142857142857143E-3</v>
      </c>
      <c r="BC85" s="374"/>
      <c r="CE85" s="163"/>
      <c r="CF85" s="163"/>
      <c r="CG85" s="163"/>
      <c r="CH85" s="163"/>
      <c r="DP85"/>
      <c r="DQ85" s="374"/>
      <c r="DR85"/>
      <c r="EI85" s="17"/>
      <c r="EJ85" s="14"/>
    </row>
    <row r="86" spans="33:140" ht="63.75">
      <c r="AX86" s="83" t="s">
        <v>255</v>
      </c>
      <c r="AY86" s="320"/>
      <c r="AZ86" s="374">
        <v>1999</v>
      </c>
      <c r="BA86" s="216">
        <v>3.9670639760890931E-3</v>
      </c>
      <c r="BB86" s="402" t="s">
        <v>256</v>
      </c>
      <c r="BC86" s="374"/>
      <c r="CA86" s="363"/>
      <c r="CB86" s="368" t="s">
        <v>257</v>
      </c>
      <c r="CC86" s="192" t="s">
        <v>258</v>
      </c>
      <c r="CD86" s="357" t="s">
        <v>259</v>
      </c>
      <c r="CE86" s="368" t="s">
        <v>260</v>
      </c>
      <c r="CF86" s="368"/>
      <c r="CH86" s="163"/>
      <c r="DV86" s="374"/>
      <c r="DW86" s="374"/>
    </row>
    <row r="87" spans="33:140" ht="47.81">
      <c r="AX87" s="83" t="s">
        <v>261</v>
      </c>
      <c r="AY87" s="320"/>
      <c r="AZ87" s="374">
        <v>2000</v>
      </c>
      <c r="BA87" s="216">
        <v>3.4285714285714288E-3</v>
      </c>
      <c r="BB87" s="402"/>
      <c r="BC87" s="374"/>
      <c r="CA87" s="368" t="s">
        <v>262</v>
      </c>
      <c r="CB87" s="368" t="s">
        <v>263</v>
      </c>
      <c r="CC87" s="368">
        <f>BW127</f>
        <v>0</v>
      </c>
      <c r="CD87" s="368" t="s">
        <v>264</v>
      </c>
      <c r="CE87" s="363"/>
      <c r="CF87" s="363"/>
      <c r="CG87" s="5" t="s">
        <v>265</v>
      </c>
      <c r="CH87" s="163"/>
    </row>
    <row r="88" spans="33:140">
      <c r="AX88" s="83" t="s">
        <v>266</v>
      </c>
      <c r="AY88" s="320"/>
      <c r="AZ88" s="374">
        <v>1999</v>
      </c>
      <c r="BA88" s="216">
        <v>3.2857142857142855E-3</v>
      </c>
      <c r="BB88" s="402"/>
      <c r="BC88" s="374"/>
      <c r="BZ88" s="5">
        <v>40</v>
      </c>
      <c r="CA88" s="43">
        <v>0</v>
      </c>
      <c r="CB88" s="211">
        <v>1E-3</v>
      </c>
      <c r="CC88" s="43">
        <v>40</v>
      </c>
      <c r="CD88" s="62">
        <f t="shared" ref="CD88:CD106" si="83">12+CC88</f>
        <v>52</v>
      </c>
      <c r="CE88" s="21">
        <f t="shared" ref="CE88:CE106" si="84">-$CG$91*LN(CB88)+$CG$88</f>
        <v>39.538776394910684</v>
      </c>
      <c r="CF88" s="21"/>
      <c r="CG88" s="142">
        <v>5</v>
      </c>
      <c r="CH88" s="163"/>
    </row>
    <row r="89" spans="33:140">
      <c r="AX89" s="83" t="s">
        <v>237</v>
      </c>
      <c r="AY89" s="320"/>
      <c r="AZ89" s="374">
        <v>2007</v>
      </c>
      <c r="BA89" s="216">
        <v>3.0000000000000001E-3</v>
      </c>
      <c r="BB89" s="402"/>
      <c r="BC89" s="374"/>
      <c r="BZ89" s="5">
        <v>30</v>
      </c>
      <c r="CA89" s="43">
        <v>10</v>
      </c>
      <c r="CB89" s="210">
        <f t="shared" ref="CB89:CB106" si="85">CA89*20/8000</f>
        <v>2.5000000000000001E-2</v>
      </c>
      <c r="CC89" s="43">
        <v>30</v>
      </c>
      <c r="CD89" s="62">
        <f t="shared" si="83"/>
        <v>42</v>
      </c>
      <c r="CE89" s="21">
        <f t="shared" si="84"/>
        <v>23.444397270569681</v>
      </c>
      <c r="CF89" s="21"/>
      <c r="CH89" s="163"/>
    </row>
    <row r="90" spans="33:140">
      <c r="AX90" s="83" t="s">
        <v>267</v>
      </c>
      <c r="AY90" s="320"/>
      <c r="AZ90" s="374">
        <v>2000</v>
      </c>
      <c r="BA90" s="216">
        <v>2.142857142857143E-3</v>
      </c>
      <c r="BB90" s="402"/>
      <c r="BC90" s="374"/>
      <c r="BZ90" s="5">
        <v>20</v>
      </c>
      <c r="CA90" s="43">
        <v>25</v>
      </c>
      <c r="CB90" s="210">
        <f t="shared" si="85"/>
        <v>6.25E-2</v>
      </c>
      <c r="CC90" s="43">
        <v>20</v>
      </c>
      <c r="CD90" s="62">
        <f t="shared" si="83"/>
        <v>32</v>
      </c>
      <c r="CE90" s="21">
        <f t="shared" si="84"/>
        <v>18.862943611198908</v>
      </c>
      <c r="CF90" s="21"/>
      <c r="CG90" s="5" t="s">
        <v>268</v>
      </c>
      <c r="CH90" s="163"/>
    </row>
    <row r="91" spans="33:140">
      <c r="AX91" s="83" t="s">
        <v>269</v>
      </c>
      <c r="AY91" s="320"/>
      <c r="AZ91" s="374">
        <v>1999</v>
      </c>
      <c r="BA91" s="216">
        <v>-8.0662155061252579E-3</v>
      </c>
      <c r="BB91" s="402"/>
      <c r="BC91" s="374"/>
      <c r="BU91">
        <v>1.45</v>
      </c>
      <c r="BV91">
        <v>16.2</v>
      </c>
      <c r="BW91" s="212">
        <f>LN(BU91)/BV91</f>
        <v>2.2936022002005126E-2</v>
      </c>
      <c r="BZ91" s="5">
        <v>17</v>
      </c>
      <c r="CA91" s="43">
        <v>40</v>
      </c>
      <c r="CB91" s="210">
        <f t="shared" si="85"/>
        <v>0.1</v>
      </c>
      <c r="CC91" s="43">
        <v>17</v>
      </c>
      <c r="CD91" s="62">
        <f t="shared" si="83"/>
        <v>29</v>
      </c>
      <c r="CE91" s="21">
        <f t="shared" si="84"/>
        <v>16.512925464970227</v>
      </c>
      <c r="CF91" s="21"/>
      <c r="CG91" s="142">
        <v>5</v>
      </c>
      <c r="CP91" s="354"/>
      <c r="CQ91" s="354"/>
      <c r="CR91" s="354"/>
      <c r="CS91" s="354"/>
    </row>
    <row r="92" spans="33:140">
      <c r="AZ92" s="374"/>
      <c r="BC92" s="374"/>
      <c r="BU92">
        <v>1.22</v>
      </c>
      <c r="BV92">
        <v>19.2</v>
      </c>
      <c r="BW92" s="212">
        <f>LN(BU92)/BV92</f>
        <v>1.035681555964402E-2</v>
      </c>
      <c r="CA92" s="207">
        <v>50</v>
      </c>
      <c r="CB92" s="209">
        <f t="shared" si="85"/>
        <v>0.125</v>
      </c>
      <c r="CC92" s="208">
        <v>14.285714285714285</v>
      </c>
      <c r="CD92" s="208">
        <f t="shared" si="83"/>
        <v>26.285714285714285</v>
      </c>
      <c r="CE92" s="21">
        <f t="shared" si="84"/>
        <v>15.397207708399179</v>
      </c>
      <c r="CF92" s="21"/>
      <c r="CP92" s="354"/>
      <c r="CQ92" s="354"/>
      <c r="CR92" s="354"/>
      <c r="CS92" s="354"/>
    </row>
    <row r="93" spans="33:140">
      <c r="AZ93" s="374"/>
      <c r="BC93" s="374"/>
      <c r="BU93">
        <v>1.08</v>
      </c>
      <c r="BV93">
        <v>19.399999999999999</v>
      </c>
      <c r="BW93" s="212">
        <f>LN(BU93)/BV93</f>
        <v>3.9670639760890931E-3</v>
      </c>
      <c r="CA93" s="207">
        <v>100</v>
      </c>
      <c r="CB93" s="209">
        <f t="shared" si="85"/>
        <v>0.25</v>
      </c>
      <c r="CC93" s="208">
        <v>12.5</v>
      </c>
      <c r="CD93" s="208">
        <f t="shared" si="83"/>
        <v>24.5</v>
      </c>
      <c r="CE93" s="21">
        <f t="shared" si="84"/>
        <v>11.931471805599454</v>
      </c>
      <c r="CF93" s="21"/>
    </row>
    <row r="94" spans="33:140">
      <c r="AZ94" s="374"/>
      <c r="BC94" s="374"/>
      <c r="BU94">
        <v>0.83</v>
      </c>
      <c r="BV94">
        <v>23.1</v>
      </c>
      <c r="BW94" s="212">
        <f>LN(BU94)/BV94</f>
        <v>-8.0662155061252579E-3</v>
      </c>
      <c r="BZ94" s="47"/>
      <c r="CA94" s="207">
        <v>150</v>
      </c>
      <c r="CB94" s="209">
        <f t="shared" si="85"/>
        <v>0.375</v>
      </c>
      <c r="CC94" s="208">
        <v>10.526315789473685</v>
      </c>
      <c r="CD94" s="208">
        <f t="shared" si="83"/>
        <v>22.526315789473685</v>
      </c>
      <c r="CE94" s="21">
        <f t="shared" si="84"/>
        <v>9.9041462650586318</v>
      </c>
      <c r="CF94" s="21"/>
    </row>
    <row r="95" spans="33:140" ht="16" customHeight="1">
      <c r="AZ95" s="374"/>
      <c r="BC95" s="374"/>
      <c r="BX95" s="39"/>
      <c r="BZ95" s="47"/>
      <c r="CA95" s="207">
        <v>200</v>
      </c>
      <c r="CB95" s="209">
        <f t="shared" si="85"/>
        <v>0.5</v>
      </c>
      <c r="CC95" s="208">
        <v>9.0909090909090917</v>
      </c>
      <c r="CD95" s="208">
        <f t="shared" si="83"/>
        <v>21.090909090909093</v>
      </c>
      <c r="CE95" s="21">
        <f t="shared" si="84"/>
        <v>8.465735902799727</v>
      </c>
      <c r="CF95" s="21"/>
    </row>
    <row r="96" spans="33:140">
      <c r="AZ96" s="374"/>
      <c r="BC96" s="374"/>
      <c r="BZ96" s="47"/>
      <c r="CA96" s="207">
        <v>250</v>
      </c>
      <c r="CB96" s="209">
        <f t="shared" si="85"/>
        <v>0.625</v>
      </c>
      <c r="CC96" s="208">
        <v>7.6923076923076916</v>
      </c>
      <c r="CD96" s="208">
        <f t="shared" si="83"/>
        <v>19.692307692307693</v>
      </c>
      <c r="CE96" s="21">
        <f t="shared" si="84"/>
        <v>7.3500181462286776</v>
      </c>
      <c r="CF96" s="21"/>
    </row>
    <row r="97" spans="65:133">
      <c r="BZ97" s="47"/>
      <c r="CA97" s="207">
        <v>300</v>
      </c>
      <c r="CB97" s="209">
        <f t="shared" si="85"/>
        <v>0.75</v>
      </c>
      <c r="CC97" s="208">
        <v>6.666666666666667</v>
      </c>
      <c r="CD97" s="208">
        <f t="shared" si="83"/>
        <v>18.666666666666668</v>
      </c>
      <c r="CE97" s="21">
        <f t="shared" si="84"/>
        <v>6.4384103622589048</v>
      </c>
      <c r="CF97" s="21"/>
    </row>
    <row r="98" spans="65:133">
      <c r="BZ98" s="17"/>
      <c r="CA98" s="207">
        <v>350</v>
      </c>
      <c r="CB98" s="209">
        <f t="shared" si="85"/>
        <v>0.875</v>
      </c>
      <c r="CC98" s="208">
        <v>4.2105263157894735</v>
      </c>
      <c r="CD98" s="208">
        <f t="shared" si="83"/>
        <v>16.210526315789473</v>
      </c>
      <c r="CE98" s="21">
        <f t="shared" si="84"/>
        <v>5.6676569631226128</v>
      </c>
      <c r="CF98" s="21"/>
      <c r="CH98" s="163"/>
      <c r="CI98" s="163"/>
      <c r="CJ98" s="163"/>
      <c r="CK98" s="163"/>
      <c r="CL98" s="163"/>
    </row>
    <row r="99" spans="65:133" ht="16" customHeight="1">
      <c r="BY99" s="365"/>
      <c r="BZ99" s="17"/>
      <c r="CA99" s="207">
        <v>400</v>
      </c>
      <c r="CB99" s="209">
        <f t="shared" si="85"/>
        <v>1</v>
      </c>
      <c r="CC99" s="208">
        <v>3.6363636363636367</v>
      </c>
      <c r="CD99" s="208">
        <f t="shared" si="83"/>
        <v>15.636363636363637</v>
      </c>
      <c r="CE99" s="21">
        <f t="shared" si="84"/>
        <v>5</v>
      </c>
      <c r="CF99" s="21"/>
      <c r="CH99" s="163"/>
      <c r="CI99" s="163"/>
      <c r="CJ99" s="163"/>
      <c r="CK99" s="163"/>
      <c r="CL99" s="163"/>
    </row>
    <row r="100" spans="65:133" ht="16" customHeight="1">
      <c r="BZ100" s="17"/>
      <c r="CA100" s="207">
        <v>450</v>
      </c>
      <c r="CB100" s="209">
        <f t="shared" si="85"/>
        <v>1.125</v>
      </c>
      <c r="CC100" s="208">
        <v>3.0769230769230771</v>
      </c>
      <c r="CD100" s="208">
        <f t="shared" si="83"/>
        <v>15.076923076923077</v>
      </c>
      <c r="CE100" s="21">
        <f t="shared" si="84"/>
        <v>4.4110848217180827</v>
      </c>
      <c r="CF100" s="21"/>
      <c r="CH100" s="163"/>
      <c r="CI100" s="163"/>
      <c r="CJ100" s="163"/>
      <c r="CK100" s="163"/>
      <c r="CL100" s="163"/>
    </row>
    <row r="101" spans="65:133">
      <c r="BM101" s="23"/>
      <c r="BZ101" s="17"/>
      <c r="CA101" s="207">
        <v>500</v>
      </c>
      <c r="CB101" s="209">
        <f t="shared" si="85"/>
        <v>1.25</v>
      </c>
      <c r="CC101" s="208">
        <v>2.8571428571428572</v>
      </c>
      <c r="CD101" s="208">
        <f t="shared" si="83"/>
        <v>14.857142857142858</v>
      </c>
      <c r="CE101" s="21">
        <f t="shared" si="84"/>
        <v>3.8842822434289515</v>
      </c>
      <c r="CF101" s="21"/>
      <c r="CH101" s="163"/>
      <c r="CI101" s="163"/>
      <c r="CJ101" s="163"/>
      <c r="CK101" s="163"/>
      <c r="CL101" s="163"/>
    </row>
    <row r="102" spans="65:133">
      <c r="BM102" s="23"/>
      <c r="BZ102" s="17"/>
      <c r="CA102" s="207">
        <v>550</v>
      </c>
      <c r="CB102" s="209">
        <f t="shared" si="85"/>
        <v>1.375</v>
      </c>
      <c r="CC102" s="208">
        <v>1.8181818181818181</v>
      </c>
      <c r="CD102" s="208">
        <f t="shared" si="83"/>
        <v>13.818181818181818</v>
      </c>
      <c r="CE102" s="21">
        <f t="shared" si="84"/>
        <v>3.4077313444073272</v>
      </c>
      <c r="CF102" s="21"/>
      <c r="CH102" s="163"/>
      <c r="CI102" s="163"/>
      <c r="CJ102" s="163"/>
      <c r="CK102" s="163"/>
      <c r="CL102" s="163"/>
      <c r="DV102" s="17"/>
      <c r="DW102" s="17"/>
    </row>
    <row r="103" spans="65:133" ht="16" customHeight="1">
      <c r="BM103" s="23"/>
      <c r="BZ103" s="17"/>
      <c r="CA103" s="207">
        <v>600</v>
      </c>
      <c r="CB103" s="209">
        <f t="shared" si="85"/>
        <v>1.5</v>
      </c>
      <c r="CC103" s="208">
        <v>1.6216216216216215</v>
      </c>
      <c r="CD103" s="208">
        <f t="shared" si="83"/>
        <v>13.621621621621621</v>
      </c>
      <c r="CE103" s="21">
        <f t="shared" si="84"/>
        <v>2.9726744594591779</v>
      </c>
      <c r="CF103" s="21"/>
      <c r="CH103" s="49"/>
      <c r="CI103" s="49"/>
      <c r="CJ103" s="49"/>
      <c r="CK103" s="49"/>
      <c r="CL103" s="49"/>
      <c r="CM103" s="49"/>
      <c r="CN103" s="49"/>
      <c r="CO103" s="49"/>
      <c r="CP103" s="49"/>
      <c r="CQ103" s="49"/>
      <c r="CR103" s="49"/>
      <c r="CS103" s="49"/>
      <c r="CT103" s="49"/>
      <c r="CU103" s="49"/>
      <c r="CV103" s="49"/>
      <c r="CW103" s="49"/>
    </row>
    <row r="104" spans="65:133">
      <c r="BM104" s="23"/>
      <c r="BZ104" s="17">
        <v>1.4</v>
      </c>
      <c r="CA104" s="43">
        <v>800</v>
      </c>
      <c r="CB104" s="210">
        <f t="shared" si="85"/>
        <v>2</v>
      </c>
      <c r="CC104" s="43">
        <v>1.4</v>
      </c>
      <c r="CD104" s="62">
        <f t="shared" si="83"/>
        <v>13.4</v>
      </c>
      <c r="CE104" s="21">
        <f t="shared" si="84"/>
        <v>1.5342640972002735</v>
      </c>
      <c r="CF104" s="21"/>
      <c r="CH104" s="49"/>
      <c r="CI104" s="49"/>
      <c r="CJ104" s="49"/>
      <c r="CK104" s="49"/>
      <c r="CL104" s="49"/>
      <c r="CM104" s="49"/>
      <c r="CN104" s="49"/>
      <c r="CO104" s="49"/>
      <c r="CP104" s="49"/>
      <c r="CQ104" s="49"/>
      <c r="CR104" s="49"/>
      <c r="CS104" s="49"/>
      <c r="CT104" s="49"/>
      <c r="CU104" s="49"/>
      <c r="CV104" s="49"/>
      <c r="CW104" s="49"/>
    </row>
    <row r="105" spans="65:133">
      <c r="BM105" s="23"/>
      <c r="BZ105" s="17">
        <v>1</v>
      </c>
      <c r="CA105" s="43">
        <v>1000</v>
      </c>
      <c r="CB105" s="210">
        <f t="shared" si="85"/>
        <v>2.5</v>
      </c>
      <c r="CC105" s="43">
        <v>1</v>
      </c>
      <c r="CD105" s="62">
        <f t="shared" si="83"/>
        <v>13</v>
      </c>
      <c r="CE105" s="21">
        <f t="shared" si="84"/>
        <v>0.41854634062922447</v>
      </c>
      <c r="CF105" s="21"/>
      <c r="CH105" s="49"/>
      <c r="CI105" s="49"/>
      <c r="CJ105" s="49"/>
      <c r="CK105" s="49"/>
      <c r="CL105" s="49"/>
      <c r="CM105" s="49"/>
      <c r="CN105" s="49"/>
      <c r="CO105" s="49"/>
      <c r="CP105" s="49"/>
      <c r="CQ105" s="49"/>
      <c r="CR105" s="49"/>
      <c r="CS105" s="49"/>
      <c r="CT105" s="49"/>
      <c r="CU105" s="49"/>
      <c r="CV105" s="49"/>
      <c r="CW105" s="49"/>
      <c r="DX105" s="5"/>
      <c r="DY105" s="5"/>
      <c r="DZ105" s="5"/>
      <c r="EA105" s="5"/>
      <c r="EB105" s="5"/>
    </row>
    <row r="106" spans="65:133">
      <c r="BM106" s="23"/>
      <c r="BZ106" s="17">
        <v>0.5</v>
      </c>
      <c r="CA106" s="43">
        <v>1200</v>
      </c>
      <c r="CB106" s="210">
        <f t="shared" si="85"/>
        <v>3</v>
      </c>
      <c r="CC106" s="43">
        <v>0.5</v>
      </c>
      <c r="CD106" s="62">
        <f t="shared" si="83"/>
        <v>12.5</v>
      </c>
      <c r="CE106" s="21">
        <f t="shared" si="84"/>
        <v>-0.49306144334054913</v>
      </c>
      <c r="CF106" s="21"/>
      <c r="EC106" s="23"/>
    </row>
    <row r="107" spans="65:133">
      <c r="BM107" s="23"/>
      <c r="BZ107" s="17"/>
      <c r="CC107" s="83"/>
      <c r="CD107" s="21"/>
      <c r="CE107" s="88"/>
      <c r="CF107" s="88"/>
      <c r="CG107" s="89"/>
      <c r="EC107" s="23"/>
    </row>
    <row r="108" spans="65:133">
      <c r="BM108" s="23"/>
      <c r="BZ108" s="47"/>
      <c r="CC108" s="83"/>
      <c r="CD108" s="21"/>
      <c r="CE108" s="88"/>
      <c r="CF108" s="88"/>
      <c r="CG108" s="89"/>
      <c r="EC108" s="23"/>
    </row>
    <row r="109" spans="65:133">
      <c r="BM109" s="23"/>
      <c r="BZ109" s="47"/>
      <c r="CC109" s="83"/>
      <c r="CD109" s="21"/>
      <c r="CE109" s="88"/>
      <c r="CF109" s="88"/>
      <c r="CG109" s="89"/>
      <c r="EC109" s="23"/>
    </row>
    <row r="110" spans="65:133">
      <c r="BM110" s="23"/>
      <c r="BZ110" s="47"/>
      <c r="CC110" s="83"/>
      <c r="CD110" s="21"/>
      <c r="CE110" s="88"/>
      <c r="CF110" s="88"/>
      <c r="CG110" s="89"/>
    </row>
    <row r="111" spans="65:133">
      <c r="BM111" s="23"/>
      <c r="BZ111" s="47"/>
      <c r="CC111" s="83"/>
      <c r="CD111" s="21"/>
      <c r="CE111" s="88"/>
      <c r="CF111" s="88"/>
      <c r="CG111" s="89"/>
    </row>
    <row r="112" spans="65:133">
      <c r="BM112" s="23"/>
      <c r="BZ112" s="47"/>
      <c r="CC112" s="83"/>
      <c r="CD112" s="21"/>
      <c r="CE112" s="88"/>
      <c r="CF112" s="88"/>
      <c r="CG112" s="89"/>
    </row>
    <row r="113" spans="65:122">
      <c r="BM113" s="23"/>
      <c r="BZ113" s="47"/>
      <c r="CC113" s="83"/>
      <c r="CD113" s="21"/>
      <c r="CE113" s="88"/>
      <c r="CF113" s="88"/>
      <c r="CG113" s="89"/>
    </row>
    <row r="114" spans="65:122">
      <c r="BZ114" s="47"/>
      <c r="CC114" s="83"/>
      <c r="CD114" s="21"/>
      <c r="CE114" s="88"/>
      <c r="CF114" s="88"/>
      <c r="CG114" s="89"/>
      <c r="DP114" s="13"/>
      <c r="DQ114" s="277"/>
      <c r="DR114" s="13"/>
    </row>
    <row r="115" spans="65:122">
      <c r="BZ115" s="47"/>
      <c r="CC115" s="83"/>
      <c r="CD115" s="21"/>
      <c r="CE115" s="88"/>
      <c r="CF115" s="88"/>
      <c r="CG115" s="89"/>
      <c r="DP115" s="13"/>
      <c r="DQ115" s="277"/>
      <c r="DR115" s="13"/>
    </row>
    <row r="116" spans="65:122">
      <c r="BM116" s="23"/>
      <c r="BZ116" s="47"/>
      <c r="CC116" s="83"/>
      <c r="CD116" s="21"/>
      <c r="CE116" s="88"/>
      <c r="CF116" s="88"/>
      <c r="CG116" s="89"/>
      <c r="DP116" s="13"/>
      <c r="DQ116" s="277"/>
      <c r="DR116" s="13"/>
    </row>
    <row r="117" spans="65:122">
      <c r="BM117" s="23"/>
      <c r="BZ117" s="47"/>
      <c r="DP117" s="13"/>
      <c r="DQ117" s="277"/>
      <c r="DR117" s="13"/>
    </row>
    <row r="118" spans="65:122">
      <c r="BM118" s="23"/>
      <c r="BZ118" s="47"/>
      <c r="DP118" s="13"/>
      <c r="DQ118" s="277"/>
      <c r="DR118" s="13"/>
    </row>
    <row r="119" spans="65:122">
      <c r="DP119" s="13"/>
      <c r="DQ119" s="277"/>
      <c r="DR119" s="13"/>
    </row>
    <row r="120" spans="65:122">
      <c r="DP120" s="13"/>
      <c r="DQ120" s="277"/>
      <c r="DR120" s="13"/>
    </row>
    <row r="121" spans="65:122">
      <c r="DB121" s="5"/>
      <c r="DP121" s="13"/>
      <c r="DQ121" s="277"/>
      <c r="DR121" s="13"/>
    </row>
    <row r="122" spans="65:122">
      <c r="DB122" s="5"/>
      <c r="DP122" s="13"/>
      <c r="DQ122" s="277"/>
      <c r="DR122" s="13"/>
    </row>
    <row r="123" spans="65:122">
      <c r="DB123" s="5"/>
      <c r="DP123" s="13"/>
      <c r="DQ123" s="277"/>
      <c r="DR123" s="13"/>
    </row>
    <row r="124" spans="65:122">
      <c r="DB124" s="5"/>
      <c r="DP124" s="13"/>
      <c r="DQ124" s="277"/>
      <c r="DR124" s="13"/>
    </row>
    <row r="125" spans="65:122">
      <c r="DB125" s="5"/>
      <c r="DP125" s="13"/>
      <c r="DQ125" s="277"/>
      <c r="DR125" s="13"/>
    </row>
    <row r="126" spans="65:122">
      <c r="BZ126"/>
      <c r="DB126" s="5"/>
      <c r="DP126" s="13"/>
      <c r="DQ126" s="277"/>
      <c r="DR126" s="13"/>
    </row>
    <row r="127" spans="65:122">
      <c r="BT127" s="16"/>
      <c r="BU127" s="16"/>
      <c r="BV127" s="16"/>
      <c r="BW127" s="16"/>
      <c r="BZ127"/>
      <c r="DB127" s="5"/>
      <c r="DP127" s="13"/>
      <c r="DQ127" s="277"/>
      <c r="DR127" s="13"/>
    </row>
    <row r="128" spans="65:122">
      <c r="BW128" s="24"/>
      <c r="BZ128"/>
      <c r="DB128" s="5"/>
      <c r="DP128" s="13"/>
      <c r="DQ128" s="277"/>
      <c r="DR128" s="13"/>
    </row>
    <row r="129" spans="75:122">
      <c r="BW129" s="24"/>
      <c r="BZ129"/>
      <c r="DB129" s="5"/>
      <c r="DP129" s="13"/>
      <c r="DQ129" s="277"/>
      <c r="DR129" s="13"/>
    </row>
    <row r="130" spans="75:122">
      <c r="BW130" s="24"/>
      <c r="BZ130"/>
      <c r="DB130" s="5"/>
      <c r="DP130" s="13"/>
      <c r="DQ130" s="277"/>
      <c r="DR130" s="13"/>
    </row>
    <row r="131" spans="75:122">
      <c r="BW131" s="24"/>
      <c r="BZ131"/>
      <c r="DB131" s="5"/>
      <c r="DP131" s="13"/>
      <c r="DQ131" s="277"/>
      <c r="DR131" s="13"/>
    </row>
    <row r="132" spans="75:122">
      <c r="BW132" s="24"/>
      <c r="BZ132"/>
      <c r="DB132" s="5"/>
      <c r="DP132" s="13"/>
      <c r="DQ132" s="277"/>
      <c r="DR132" s="13"/>
    </row>
    <row r="133" spans="75:122">
      <c r="BW133" s="24"/>
      <c r="BZ133"/>
      <c r="DB133" s="5"/>
      <c r="DP133" s="13"/>
      <c r="DQ133" s="277"/>
      <c r="DR133" s="13"/>
    </row>
    <row r="134" spans="75:122">
      <c r="BW134" s="24"/>
      <c r="BZ134"/>
      <c r="DB134" s="5"/>
      <c r="DP134" s="13"/>
      <c r="DQ134" s="277"/>
      <c r="DR134" s="13"/>
    </row>
    <row r="135" spans="75:122">
      <c r="BW135" s="24"/>
      <c r="BZ135"/>
      <c r="DB135" s="5"/>
      <c r="DP135" s="13"/>
      <c r="DQ135" s="277"/>
      <c r="DR135" s="13"/>
    </row>
    <row r="136" spans="75:122">
      <c r="BW136" s="24"/>
      <c r="BZ136"/>
      <c r="DB136" s="5"/>
      <c r="DP136" s="13"/>
      <c r="DQ136" s="277"/>
      <c r="DR136" s="13"/>
    </row>
    <row r="137" spans="75:122">
      <c r="BW137" s="24"/>
      <c r="BZ137"/>
      <c r="DB137" s="5"/>
      <c r="DP137" s="13"/>
      <c r="DQ137" s="277"/>
      <c r="DR137" s="13"/>
    </row>
    <row r="138" spans="75:122">
      <c r="BW138" s="24"/>
      <c r="BZ138"/>
    </row>
    <row r="139" spans="75:122">
      <c r="BW139" s="24"/>
      <c r="BZ139"/>
    </row>
    <row r="140" spans="75:122">
      <c r="BX140"/>
      <c r="BY140"/>
      <c r="BZ140"/>
    </row>
    <row r="141" spans="75:122">
      <c r="BX141"/>
      <c r="BY141"/>
      <c r="BZ141"/>
    </row>
    <row r="142" spans="75:122">
      <c r="BX142"/>
      <c r="BY142"/>
      <c r="BZ142"/>
    </row>
    <row r="143" spans="75:122">
      <c r="BX143"/>
      <c r="BY143"/>
      <c r="BZ143"/>
    </row>
    <row r="144" spans="75:122">
      <c r="BX144"/>
      <c r="BY144"/>
      <c r="BZ144"/>
    </row>
    <row r="145" spans="51:143">
      <c r="AZ145" s="374"/>
      <c r="BC145" s="374"/>
      <c r="BX145"/>
      <c r="BY145"/>
      <c r="BZ145"/>
    </row>
    <row r="146" spans="51:143" s="5" customFormat="1">
      <c r="AY146" s="316"/>
      <c r="AZ146" s="374"/>
      <c r="BC146" s="374"/>
      <c r="BW146"/>
      <c r="BX146"/>
      <c r="BY146"/>
      <c r="CM146"/>
      <c r="CN146"/>
      <c r="CO146"/>
      <c r="CP146"/>
      <c r="CQ146"/>
      <c r="CR146"/>
      <c r="CS146"/>
      <c r="CT146"/>
      <c r="CU146"/>
      <c r="CV146"/>
      <c r="CW146"/>
      <c r="CX146"/>
      <c r="CY146"/>
      <c r="CZ146"/>
      <c r="DA146"/>
      <c r="DB146"/>
      <c r="DC146"/>
      <c r="DD146"/>
      <c r="DE146"/>
      <c r="DF146"/>
      <c r="DG146"/>
      <c r="DH146"/>
      <c r="DI146"/>
      <c r="DJ146"/>
      <c r="DK146"/>
      <c r="DL146"/>
      <c r="DM146"/>
      <c r="DN146"/>
      <c r="DO146"/>
      <c r="DP146" s="14"/>
      <c r="DQ146" s="46"/>
      <c r="DR146" s="14"/>
      <c r="DS146"/>
      <c r="DT146"/>
      <c r="DU146"/>
      <c r="DV146"/>
      <c r="DW146"/>
      <c r="DX146"/>
      <c r="DY146"/>
      <c r="DZ146"/>
      <c r="EA146"/>
      <c r="EB146"/>
      <c r="EC146"/>
      <c r="ED146"/>
      <c r="EE146"/>
      <c r="EF146"/>
      <c r="EG146"/>
      <c r="EH146"/>
      <c r="EI146"/>
      <c r="EJ146"/>
      <c r="EK146"/>
      <c r="EL146"/>
      <c r="EM146"/>
    </row>
    <row r="147" spans="51:143" s="5" customFormat="1">
      <c r="AY147" s="316"/>
      <c r="AZ147" s="374"/>
      <c r="BC147" s="374"/>
      <c r="BP147"/>
      <c r="BQ147"/>
      <c r="BR147"/>
      <c r="BS147"/>
      <c r="BT147"/>
      <c r="BU147"/>
      <c r="BV147"/>
      <c r="BW147"/>
      <c r="BZ147" s="47"/>
      <c r="CA147"/>
      <c r="CB147"/>
      <c r="CC147" s="24"/>
      <c r="CD147" s="23"/>
      <c r="CE147"/>
      <c r="CF147"/>
      <c r="CM147"/>
      <c r="CN147"/>
      <c r="CO147"/>
      <c r="CP147"/>
      <c r="CQ147"/>
      <c r="CR147"/>
      <c r="CS147"/>
      <c r="CT147"/>
      <c r="CU147"/>
      <c r="CV147"/>
      <c r="CW147"/>
      <c r="CX147"/>
      <c r="CY147"/>
      <c r="CZ147"/>
      <c r="DA147"/>
      <c r="DB147"/>
      <c r="DC147"/>
      <c r="DD147"/>
      <c r="DE147"/>
      <c r="DF147"/>
      <c r="DG147"/>
      <c r="DH147"/>
      <c r="DI147"/>
      <c r="DJ147"/>
      <c r="DK147"/>
      <c r="DL147"/>
      <c r="DM147"/>
      <c r="DN147"/>
      <c r="DO147"/>
      <c r="DP147" s="14"/>
      <c r="DQ147" s="46"/>
      <c r="DR147" s="14"/>
      <c r="DS147"/>
      <c r="DT147"/>
      <c r="DU147"/>
      <c r="DV147"/>
      <c r="DW147"/>
      <c r="DX147"/>
      <c r="DY147"/>
      <c r="DZ147"/>
      <c r="EA147"/>
      <c r="EB147"/>
      <c r="EC147"/>
      <c r="ED147"/>
      <c r="EE147"/>
      <c r="EF147"/>
      <c r="EG147"/>
      <c r="EH147"/>
      <c r="EI147"/>
      <c r="EJ147"/>
      <c r="EK147"/>
      <c r="EL147"/>
      <c r="EM147"/>
    </row>
    <row r="148" spans="51:143" s="5" customFormat="1">
      <c r="AY148" s="316"/>
      <c r="AZ148" s="374"/>
      <c r="BC148" s="374"/>
      <c r="BP148"/>
      <c r="BQ148"/>
      <c r="BR148"/>
      <c r="BS148"/>
      <c r="BT148"/>
      <c r="BU148"/>
      <c r="BV148"/>
      <c r="BW148"/>
      <c r="BZ148" s="47"/>
      <c r="CA148"/>
      <c r="CB148"/>
      <c r="CC148" s="24"/>
      <c r="CD148" s="23"/>
      <c r="CE148"/>
      <c r="CF148"/>
      <c r="CM148"/>
      <c r="CN148"/>
      <c r="CO148"/>
      <c r="CP148"/>
      <c r="CQ148"/>
      <c r="CR148"/>
      <c r="CS148"/>
      <c r="CT148"/>
      <c r="CU148"/>
      <c r="CV148"/>
      <c r="CW148"/>
      <c r="CX148"/>
      <c r="CY148"/>
      <c r="CZ148"/>
      <c r="DA148"/>
      <c r="DB148"/>
      <c r="DC148"/>
      <c r="DD148"/>
      <c r="DE148"/>
      <c r="DF148"/>
      <c r="DG148"/>
      <c r="DH148"/>
      <c r="DI148"/>
      <c r="DJ148"/>
      <c r="DK148"/>
      <c r="DL148"/>
      <c r="DM148"/>
      <c r="DN148"/>
      <c r="DO148"/>
      <c r="DP148" s="14"/>
      <c r="DQ148" s="46"/>
      <c r="DR148" s="14"/>
      <c r="DS148"/>
      <c r="DT148"/>
      <c r="DU148"/>
      <c r="DV148"/>
      <c r="DW148"/>
      <c r="DX148"/>
      <c r="DY148"/>
      <c r="DZ148"/>
      <c r="EA148"/>
      <c r="EB148"/>
      <c r="EC148"/>
      <c r="ED148"/>
      <c r="EE148"/>
      <c r="EF148"/>
      <c r="EG148"/>
      <c r="EH148"/>
      <c r="EI148"/>
      <c r="EJ148"/>
      <c r="EK148"/>
      <c r="EL148"/>
      <c r="EM148"/>
    </row>
    <row r="149" spans="51:143" s="5" customFormat="1">
      <c r="AY149" s="316"/>
      <c r="AZ149" s="374"/>
      <c r="BC149" s="374"/>
      <c r="BP149"/>
      <c r="BQ149"/>
      <c r="BR149"/>
      <c r="BS149"/>
      <c r="BT149"/>
      <c r="BU149"/>
      <c r="BV149"/>
      <c r="BW149"/>
      <c r="BZ149" s="47"/>
      <c r="CA149"/>
      <c r="CB149"/>
      <c r="CC149" s="24"/>
      <c r="CD149" s="23"/>
      <c r="CE149"/>
      <c r="CF149"/>
      <c r="CM149"/>
      <c r="CN149"/>
      <c r="CO149"/>
      <c r="CP149"/>
      <c r="CQ149"/>
      <c r="CR149"/>
      <c r="CS149"/>
      <c r="CT149"/>
      <c r="CU149"/>
      <c r="CV149"/>
      <c r="CW149"/>
      <c r="CX149"/>
      <c r="CY149"/>
      <c r="CZ149"/>
      <c r="DA149"/>
      <c r="DB149"/>
      <c r="DC149"/>
      <c r="DD149"/>
      <c r="DE149"/>
      <c r="DF149"/>
      <c r="DG149"/>
      <c r="DH149"/>
      <c r="DI149"/>
      <c r="DJ149"/>
      <c r="DK149"/>
      <c r="DL149"/>
      <c r="DM149"/>
      <c r="DN149"/>
      <c r="DO149"/>
      <c r="DP149" s="14"/>
      <c r="DQ149" s="46"/>
      <c r="DR149" s="14"/>
      <c r="DS149"/>
      <c r="DT149"/>
      <c r="DU149"/>
      <c r="DV149"/>
      <c r="DW149"/>
      <c r="DX149"/>
      <c r="DY149"/>
      <c r="DZ149"/>
      <c r="EA149"/>
      <c r="EB149"/>
      <c r="EC149"/>
      <c r="ED149"/>
      <c r="EE149"/>
      <c r="EF149"/>
      <c r="EG149"/>
      <c r="EH149"/>
      <c r="EI149"/>
      <c r="EJ149"/>
      <c r="EK149"/>
      <c r="EL149"/>
      <c r="EM149"/>
    </row>
    <row r="150" spans="51:143" s="5" customFormat="1">
      <c r="AY150" s="316"/>
      <c r="AZ150" s="374"/>
      <c r="BC150" s="374"/>
      <c r="BP150"/>
      <c r="BQ150"/>
      <c r="BR150"/>
      <c r="BS150"/>
      <c r="BT150"/>
      <c r="BU150"/>
      <c r="BV150"/>
      <c r="BW150"/>
      <c r="BZ150" s="47"/>
      <c r="CA150"/>
      <c r="CB150"/>
      <c r="CC150" s="24"/>
      <c r="CD150" s="23"/>
      <c r="CE150"/>
      <c r="CF150"/>
      <c r="CM150"/>
      <c r="CN150"/>
      <c r="CO150"/>
      <c r="CP150"/>
      <c r="CQ150"/>
      <c r="CR150"/>
      <c r="CS150"/>
      <c r="CT150"/>
      <c r="CU150"/>
      <c r="CV150"/>
      <c r="CW150"/>
      <c r="CX150"/>
      <c r="CY150"/>
      <c r="CZ150"/>
      <c r="DA150"/>
      <c r="DB150"/>
      <c r="DC150"/>
      <c r="DD150"/>
      <c r="DE150"/>
      <c r="DF150"/>
      <c r="DG150"/>
      <c r="DH150"/>
      <c r="DI150"/>
      <c r="DJ150"/>
      <c r="DK150"/>
      <c r="DL150"/>
      <c r="DM150"/>
      <c r="DN150"/>
      <c r="DO150"/>
      <c r="DP150" s="14"/>
      <c r="DQ150" s="46"/>
      <c r="DR150" s="14"/>
      <c r="DS150"/>
      <c r="DT150"/>
      <c r="DU150"/>
      <c r="DV150"/>
      <c r="DW150"/>
      <c r="DX150"/>
      <c r="DY150"/>
      <c r="DZ150"/>
      <c r="EA150"/>
      <c r="EB150"/>
      <c r="EC150"/>
      <c r="ED150"/>
      <c r="EE150"/>
      <c r="EF150"/>
      <c r="EG150"/>
      <c r="EH150"/>
      <c r="EI150"/>
      <c r="EJ150"/>
      <c r="EK150"/>
      <c r="EL150"/>
      <c r="EM150"/>
    </row>
    <row r="151" spans="51:143" s="5" customFormat="1">
      <c r="AY151" s="316"/>
      <c r="AZ151" s="374"/>
      <c r="BC151" s="374"/>
      <c r="BP151"/>
      <c r="BQ151"/>
      <c r="BR151"/>
      <c r="BS151"/>
      <c r="BT151"/>
      <c r="BU151"/>
      <c r="BV151"/>
      <c r="BW151"/>
      <c r="BZ151" s="47"/>
      <c r="CA151"/>
      <c r="CB151"/>
      <c r="CC151" s="24"/>
      <c r="CD151" s="23"/>
      <c r="CE151"/>
      <c r="CF151"/>
      <c r="CM151"/>
      <c r="CN151"/>
      <c r="CO151"/>
      <c r="CP151"/>
      <c r="CQ151"/>
      <c r="CR151"/>
      <c r="CS151"/>
      <c r="CT151"/>
      <c r="CU151"/>
      <c r="CV151"/>
      <c r="CW151"/>
      <c r="CX151"/>
      <c r="CY151"/>
      <c r="CZ151"/>
      <c r="DA151"/>
      <c r="DB151"/>
      <c r="DC151"/>
      <c r="DD151"/>
      <c r="DE151"/>
      <c r="DF151"/>
      <c r="DG151"/>
      <c r="DH151"/>
      <c r="DI151"/>
      <c r="DJ151"/>
      <c r="DK151"/>
      <c r="DL151"/>
      <c r="DM151"/>
      <c r="DN151"/>
      <c r="DO151"/>
      <c r="DP151" s="14"/>
      <c r="DQ151" s="46"/>
      <c r="DR151" s="14"/>
      <c r="DS151"/>
      <c r="DT151"/>
      <c r="DU151"/>
      <c r="DV151"/>
      <c r="DW151"/>
      <c r="DX151"/>
      <c r="DY151"/>
      <c r="DZ151"/>
      <c r="EA151"/>
      <c r="EB151"/>
      <c r="EC151"/>
      <c r="ED151"/>
      <c r="EE151"/>
      <c r="EF151"/>
      <c r="EG151"/>
      <c r="EH151"/>
      <c r="EI151"/>
      <c r="EJ151"/>
      <c r="EK151"/>
      <c r="EL151"/>
      <c r="EM151"/>
    </row>
    <row r="152" spans="51:143" s="5" customFormat="1">
      <c r="AY152" s="316"/>
      <c r="AZ152" s="374"/>
      <c r="BC152" s="374"/>
      <c r="BP152"/>
      <c r="BQ152"/>
      <c r="BR152"/>
      <c r="BS152"/>
      <c r="BT152"/>
      <c r="BU152"/>
      <c r="BV152"/>
      <c r="BW152"/>
      <c r="BZ152"/>
      <c r="CA152"/>
      <c r="CB152"/>
      <c r="CC152"/>
      <c r="CD152"/>
      <c r="CE152"/>
      <c r="CF152"/>
      <c r="CM152"/>
      <c r="CN152"/>
      <c r="CO152"/>
      <c r="CP152"/>
      <c r="CQ152"/>
      <c r="CR152"/>
      <c r="CS152"/>
      <c r="CT152"/>
      <c r="CU152"/>
      <c r="CV152"/>
      <c r="CW152"/>
      <c r="CX152"/>
      <c r="CY152"/>
      <c r="CZ152"/>
      <c r="DA152"/>
      <c r="DB152"/>
      <c r="DC152"/>
      <c r="DD152"/>
      <c r="DE152"/>
      <c r="DF152"/>
      <c r="DG152"/>
      <c r="DH152"/>
      <c r="DI152"/>
      <c r="DJ152"/>
      <c r="DK152"/>
      <c r="DL152"/>
      <c r="DM152"/>
      <c r="DN152"/>
      <c r="DO152"/>
      <c r="DP152" s="14"/>
      <c r="DQ152" s="46"/>
      <c r="DR152" s="14"/>
      <c r="DS152"/>
      <c r="DT152"/>
      <c r="DU152"/>
      <c r="DV152"/>
      <c r="DW152"/>
      <c r="DX152"/>
      <c r="DY152"/>
      <c r="DZ152"/>
      <c r="EA152"/>
      <c r="EB152"/>
      <c r="EC152"/>
      <c r="ED152"/>
      <c r="EE152"/>
      <c r="EF152"/>
      <c r="EG152"/>
      <c r="EH152"/>
      <c r="EI152"/>
      <c r="EJ152"/>
      <c r="EK152"/>
      <c r="EL152"/>
      <c r="EM152"/>
    </row>
    <row r="153" spans="51:143">
      <c r="AZ153" s="374"/>
      <c r="BC153" s="374"/>
      <c r="BZ153"/>
      <c r="CA153"/>
      <c r="CB153"/>
      <c r="CC153"/>
      <c r="CD153"/>
      <c r="CE153"/>
      <c r="CF153"/>
    </row>
    <row r="154" spans="51:143">
      <c r="AZ154" s="374"/>
      <c r="BC154" s="374"/>
      <c r="CA154"/>
      <c r="CB154"/>
      <c r="CC154" s="24"/>
      <c r="CD154" s="23"/>
      <c r="CE154"/>
      <c r="CF154"/>
    </row>
  </sheetData>
  <sheetProtection password="CF27" sheet="1" objects="1" scenarios="1" selectLockedCells="1"/>
  <customSheetViews>
    <customSheetView guid="{40D14490-07BB-46F3-8435-9C462BE853EE}" scale="90" topLeftCell="A4">
      <selection activeCell="C23" sqref="C23"/>
      <colBreaks count="1" manualBreakCount="1">
        <brk id="67" max="1048575" man="1"/>
      </colBreaks>
      <pageMargins left="0" right="0" top="0" bottom="0" header="0" footer="0"/>
      <pageSetup scale="34" orientation="portrait" r:id="rId1"/>
    </customSheetView>
    <customSheetView guid="{C5ECCA7E-81F6-46F5-BEA0-A5F2DAD22AC9}" scale="90" topLeftCell="A4">
      <selection activeCell="C23" sqref="C23"/>
      <colBreaks count="1" manualBreakCount="1">
        <brk id="67" max="1048575" man="1"/>
      </colBreaks>
      <pageMargins left="0" right="0" top="0" bottom="0" header="0" footer="0"/>
      <pageSetup scale="34" orientation="portrait" r:id="rId2"/>
    </customSheetView>
  </customSheetViews>
  <mergeCells count="75">
    <mergeCell ref="BB69:BB78"/>
    <mergeCell ref="BX74:CC78"/>
    <mergeCell ref="BB86:BB91"/>
    <mergeCell ref="C49:H49"/>
    <mergeCell ref="C50:H50"/>
    <mergeCell ref="C51:J51"/>
    <mergeCell ref="AG55:AH55"/>
    <mergeCell ref="BY58:BY68"/>
    <mergeCell ref="BO62:BO64"/>
    <mergeCell ref="K35:M35"/>
    <mergeCell ref="AG34:AZ34"/>
    <mergeCell ref="C48:H48"/>
    <mergeCell ref="B36:M36"/>
    <mergeCell ref="B37:M38"/>
    <mergeCell ref="AG38:AH38"/>
    <mergeCell ref="B39:M40"/>
    <mergeCell ref="B43:M43"/>
    <mergeCell ref="B45:H45"/>
    <mergeCell ref="C46:H46"/>
    <mergeCell ref="C47:H47"/>
    <mergeCell ref="BA40:BA41"/>
    <mergeCell ref="BB40:BG42"/>
    <mergeCell ref="B41:M41"/>
    <mergeCell ref="AW41:AX41"/>
    <mergeCell ref="B42:M42"/>
    <mergeCell ref="AT42:AT43"/>
    <mergeCell ref="AU42:AZ43"/>
    <mergeCell ref="B31:M32"/>
    <mergeCell ref="BH31:BN31"/>
    <mergeCell ref="BO31:BO32"/>
    <mergeCell ref="B33:M33"/>
    <mergeCell ref="B34:M34"/>
    <mergeCell ref="BO29:BO30"/>
    <mergeCell ref="B30:M30"/>
    <mergeCell ref="BH19:BH20"/>
    <mergeCell ref="BI19:BM20"/>
    <mergeCell ref="B20:C20"/>
    <mergeCell ref="AB20:AC20"/>
    <mergeCell ref="D21:AA21"/>
    <mergeCell ref="AB21:AC24"/>
    <mergeCell ref="BH21:BH22"/>
    <mergeCell ref="BI21:BM22"/>
    <mergeCell ref="BH23:BH24"/>
    <mergeCell ref="BI23:BM24"/>
    <mergeCell ref="AG24:AV24"/>
    <mergeCell ref="AW24:AX24"/>
    <mergeCell ref="AG25:AV25"/>
    <mergeCell ref="AW25:AX25"/>
    <mergeCell ref="BH17:BH18"/>
    <mergeCell ref="BI17:BM18"/>
    <mergeCell ref="EP3:EQ3"/>
    <mergeCell ref="BI4:BK4"/>
    <mergeCell ref="BH5:BH6"/>
    <mergeCell ref="BI5:BM6"/>
    <mergeCell ref="BH7:BH8"/>
    <mergeCell ref="BI7:BM8"/>
    <mergeCell ref="BH9:BH10"/>
    <mergeCell ref="BI9:BM10"/>
    <mergeCell ref="BH11:BH12"/>
    <mergeCell ref="BI11:BM12"/>
    <mergeCell ref="BH13:BH14"/>
    <mergeCell ref="BI13:BM14"/>
    <mergeCell ref="BH15:BH16"/>
    <mergeCell ref="BI15:BM16"/>
    <mergeCell ref="EJ1:EL1"/>
    <mergeCell ref="AE2:AI2"/>
    <mergeCell ref="DY2:DZ2"/>
    <mergeCell ref="EC2:EE2"/>
    <mergeCell ref="BH3:BM3"/>
    <mergeCell ref="AE1:AX1"/>
    <mergeCell ref="BP1:BT1"/>
    <mergeCell ref="BU1:CD1"/>
    <mergeCell ref="DC1:DD1"/>
    <mergeCell ref="DV1:DX2"/>
    <mergeCell ref="EC1:EH1"/>
  </mergeCells>
  <pageMargins left="0.7" right="0.7" top="0.75" bottom="0" header="0.3" footer="0.3"/>
  <pageSetup scale="34" orientation="portrait" r:id="rId3"/>
  <colBreaks count="1" manualBreakCount="1">
    <brk id="67" max="1048575" man="1"/>
  </colBreaks>
  <drawing r:id="rId4"/>
  <legacyDrawing r:id="rId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Randy Oliver</dc:creator>
  <cp:keywords/>
  <dc:description/>
  <cp:lastModifiedBy>Randy Oliver</cp:lastModifiedBy>
  <cp:revision/>
  <dcterms:created xsi:type="dcterms:W3CDTF">2016-09-25T17:34:02Z</dcterms:created>
  <dcterms:modified xsi:type="dcterms:W3CDTF">2026-09-19T20:32:39Z</dcterms:modified>
  <cp:category/>
  <cp:contentStatus/>
</cp:coreProperties>
</file>